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us\Dropbox\01_Töö Arengufond\01_ENMAK2030\Stsenaariumid\Transport\Final\"/>
    </mc:Choice>
  </mc:AlternateContent>
  <bookViews>
    <workbookView xWindow="2760" yWindow="1116" windowWidth="16800" windowHeight="6768"/>
  </bookViews>
  <sheets>
    <sheet name="Ohusaaste" sheetId="2" r:id="rId1"/>
    <sheet name="Ohusaaste (joonised)" sheetId="5" r:id="rId2"/>
    <sheet name="Copert_jagunemineLinnMaa" sheetId="3" r:id="rId3"/>
    <sheet name="Labisoit" sheetId="1" r:id="rId4"/>
    <sheet name="Sheet1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RESULTS____" localSheetId="3">#REF!</definedName>
    <definedName name="_____RESULTS____" localSheetId="0">#REF!</definedName>
    <definedName name="_____RESULTS____" localSheetId="1">#REF!</definedName>
    <definedName name="_____RESULTS____">#REF!</definedName>
    <definedName name="___INPUT_DATA___" localSheetId="0">#REF!</definedName>
    <definedName name="___INPUT_DATA___" localSheetId="1">#REF!</definedName>
    <definedName name="___INPUT_DATA___">#REF!</definedName>
    <definedName name="_2">'[1]Basic Information'!$B$7</definedName>
    <definedName name="Annual_Fuel_Consumption_t" localSheetId="0">#REF!</definedName>
    <definedName name="Annual_Fuel_Consumption_t" localSheetId="1">#REF!</definedName>
    <definedName name="Annual_Fuel_Consumption_t">#REF!</definedName>
    <definedName name="Base_year" localSheetId="3">'[2]Basic Information'!$C$7</definedName>
    <definedName name="Base_year" localSheetId="0">'[2]Basic Information'!$C$7</definedName>
    <definedName name="Base_year" localSheetId="1">'[2]Basic Information'!$C$7</definedName>
    <definedName name="Base_year">'[3]Basic Information'!$C$7</definedName>
    <definedName name="Basename" localSheetId="3">'[2]Basic Information'!$B$7</definedName>
    <definedName name="Basename" localSheetId="0">'[2]Basic Information'!$B$7</definedName>
    <definedName name="Basename" localSheetId="1">'[2]Basic Information'!$B$7</definedName>
    <definedName name="Basename">'[3]Basic Information'!$B$7</definedName>
    <definedName name="cap_rate" localSheetId="3">'[2]Basic Information'!$C$32</definedName>
    <definedName name="cap_rate" localSheetId="0">'[2]Basic Information'!$C$32</definedName>
    <definedName name="cap_rate" localSheetId="1">'[2]Basic Information'!$C$32</definedName>
    <definedName name="cap_rate">'[3]Basic Information'!$C$32</definedName>
    <definedName name="DHProdUnit" localSheetId="0">OFFSET(#REF!,0,0,COUNTA(#REF!))</definedName>
    <definedName name="DHProdUnit" localSheetId="1">OFFSET(#REF!,0,0,COUNTA(#REF!))</definedName>
    <definedName name="DHProdUnit">OFFSET(#REF!,0,0,COUNTA(#REF!))</definedName>
    <definedName name="Dispatch" localSheetId="1">OFFSET(#REF!,0,0,COUNTA(#REF!))</definedName>
    <definedName name="Dispatch">OFFSET(#REF!,0,0,COUNTA(#REF!))</definedName>
    <definedName name="DKKTOEUR" localSheetId="3">'[2]Basic Information'!$C$33</definedName>
    <definedName name="DKKTOEUR" localSheetId="0">'[2]Basic Information'!$C$33</definedName>
    <definedName name="DKKTOEUR" localSheetId="1">'[2]Basic Information'!$C$33</definedName>
    <definedName name="DKKTOEUR">'[3]Basic Information'!$C$33</definedName>
    <definedName name="DurCurveHeat" localSheetId="0">OFFSET(#REF!,0,0,COUNTA(#REF!))</definedName>
    <definedName name="DurCurveHeat" localSheetId="1">OFFSET(#REF!,0,0,COUNTA(#REF!))</definedName>
    <definedName name="DurCurveHeat">OFFSET(#REF!,0,0,COUNTA(#REF!))</definedName>
    <definedName name="DurCurvePower" localSheetId="1">OFFSET(#REF!,0,0,COUNTA(#REF!))</definedName>
    <definedName name="DurCurvePower">OFFSET(#REF!,0,0,COUNTA(#REF!))</definedName>
    <definedName name="ElProdUnit" localSheetId="1">OFFSET(#REF!,0,0,COUNTA(#REF!))</definedName>
    <definedName name="ElProdUnit">OFFSET(#REF!,0,0,COUNTA(#REF!))</definedName>
    <definedName name="ff">'[4]Basic Information'!$B$8</definedName>
    <definedName name="FuelCategory" localSheetId="0">OFFSET(#REF!,0,0,COUNTA(#REF!))</definedName>
    <definedName name="FuelCategory" localSheetId="1">OFFSET(#REF!,0,0,COUNTA(#REF!))</definedName>
    <definedName name="FuelCategory">OFFSET(#REF!,0,0,COUNTA(#REF!))</definedName>
    <definedName name="FuelName" localSheetId="1">OFFSET(#REF!,0,0,COUNTA(#REF!))</definedName>
    <definedName name="FuelName">OFFSET(#REF!,0,0,COUNTA(#REF!))</definedName>
    <definedName name="FuelState" localSheetId="1">OFFSET(#REF!,0,0,COUNTA(#REF!))</definedName>
    <definedName name="FuelState">OFFSET(#REF!,0,0,COUNTA(#REF!))</definedName>
    <definedName name="FuelType" localSheetId="1">OFFSET(#REF!,0,0,COUNTA(#REF!))</definedName>
    <definedName name="FuelType">OFFSET(#REF!,0,0,COUNTA(#REF!))</definedName>
    <definedName name="H_CH4_Emiss_t" localSheetId="1">#REF!</definedName>
    <definedName name="H_CH4_Emiss_t">#REF!</definedName>
    <definedName name="H_CO2_AC_Emiss_t" localSheetId="1">#REF!</definedName>
    <definedName name="H_CO2_AC_Emiss_t">#REF!</definedName>
    <definedName name="H_CO2_Emiss_t" localSheetId="1">#REF!</definedName>
    <definedName name="H_CO2_Emiss_t">#REF!</definedName>
    <definedName name="H_CO2_Lube_Emiss_t" localSheetId="1">#REF!</definedName>
    <definedName name="H_CO2_Lube_Emiss_t">#REF!</definedName>
    <definedName name="H_CO2_SCR_Emiss_t" localSheetId="1">#REF!</definedName>
    <definedName name="H_CO2_SCR_Emiss_t">#REF!</definedName>
    <definedName name="H_FC_AC_Emiss_t" localSheetId="1">#REF!</definedName>
    <definedName name="H_FC_AC_Emiss_t">#REF!</definedName>
    <definedName name="H_FC_Emiss_t" localSheetId="1">#REF!</definedName>
    <definedName name="H_FC_Emiss_t">#REF!</definedName>
    <definedName name="H_N2O_Emiss_t" localSheetId="1">#REF!</definedName>
    <definedName name="H_N2O_Emiss_t">#REF!</definedName>
    <definedName name="H_Share_perc" localSheetId="1">#REF!</definedName>
    <definedName name="H_Share_perc">#REF!</definedName>
    <definedName name="H_Speed_km_per_h" localSheetId="1">#REF!</definedName>
    <definedName name="H_Speed_km_per_h">#REF!</definedName>
    <definedName name="IndTech" localSheetId="0">OFFSET(#REF!,0,0,COUNTA(#REF!))</definedName>
    <definedName name="IndTech" localSheetId="1">OFFSET(#REF!,0,0,COUNTA(#REF!))</definedName>
    <definedName name="IndTech">OFFSET(#REF!,0,0,COUNTA(#REF!))</definedName>
    <definedName name="Mean_Fleet_Mileage_km" localSheetId="1">#REF!</definedName>
    <definedName name="Mean_Fleet_Mileage_km">#REF!</definedName>
    <definedName name="Mode" localSheetId="0">OFFSET(#REF!,0,0,COUNTA(#REF!))</definedName>
    <definedName name="Mode" localSheetId="1">OFFSET(#REF!,0,0,COUNTA(#REF!))</definedName>
    <definedName name="Mode">OFFSET(#REF!,0,0,COUNTA(#REF!))</definedName>
    <definedName name="ModelMode" localSheetId="0">#REF!</definedName>
    <definedName name="ModelMode" localSheetId="1">#REF!</definedName>
    <definedName name="ModelMode">#REF!</definedName>
    <definedName name="R_CH4_Emiss_t" localSheetId="3">#REF!</definedName>
    <definedName name="R_CH4_Emiss_t" localSheetId="0">#REF!</definedName>
    <definedName name="R_CH4_Emiss_t" localSheetId="1">#REF!</definedName>
    <definedName name="R_CH4_Emiss_t">#REF!</definedName>
    <definedName name="R_CO2_AC_Emiss_t" localSheetId="0">#REF!</definedName>
    <definedName name="R_CO2_AC_Emiss_t" localSheetId="1">#REF!</definedName>
    <definedName name="R_CO2_AC_Emiss_t">#REF!</definedName>
    <definedName name="R_CO2_Emiss_t" localSheetId="1">#REF!</definedName>
    <definedName name="R_CO2_Emiss_t">#REF!</definedName>
    <definedName name="R_CO2_Lube_Emiss_t" localSheetId="1">#REF!</definedName>
    <definedName name="R_CO2_Lube_Emiss_t">#REF!</definedName>
    <definedName name="R_CO2_SCR_Emiss_t" localSheetId="1">#REF!</definedName>
    <definedName name="R_CO2_SCR_Emiss_t">#REF!</definedName>
    <definedName name="R_FC_AC_Emiss_t" localSheetId="1">#REF!</definedName>
    <definedName name="R_FC_AC_Emiss_t">#REF!</definedName>
    <definedName name="R_FC_Emiss_t" localSheetId="1">#REF!</definedName>
    <definedName name="R_FC_Emiss_t">#REF!</definedName>
    <definedName name="R_N2O_Emiss_t" localSheetId="1">#REF!</definedName>
    <definedName name="R_N2O_Emiss_t">#REF!</definedName>
    <definedName name="R_Share_perc" localSheetId="1">#REF!</definedName>
    <definedName name="R_Share_perc">#REF!</definedName>
    <definedName name="R_Speed_km_per_h" localSheetId="1">#REF!</definedName>
    <definedName name="R_Speed_km_per_h">#REF!</definedName>
    <definedName name="Reference_name" localSheetId="3">'[2]Basic Information'!$B$8</definedName>
    <definedName name="Reference_name" localSheetId="0">'[2]Basic Information'!$B$8</definedName>
    <definedName name="Reference_name" localSheetId="1">'[2]Basic Information'!$B$8</definedName>
    <definedName name="Reference_name">'[3]Basic Information'!$B$8</definedName>
    <definedName name="Reference_year" localSheetId="3">'[2]Basic Information'!$C$8</definedName>
    <definedName name="Reference_year" localSheetId="0">'[2]Basic Information'!$C$8</definedName>
    <definedName name="Reference_year" localSheetId="1">'[2]Basic Information'!$C$8</definedName>
    <definedName name="Reference_year">'[3]Basic Information'!$C$8</definedName>
    <definedName name="RefinedFuels" localSheetId="0">OFFSET(#REF!, 0, 0, COUNT(IF(#REF!="", "", 1)), 1)</definedName>
    <definedName name="RefinedFuels" localSheetId="1">OFFSET(#REF!, 0, 0, COUNT(IF(#REF!="", "", 1)), 1)</definedName>
    <definedName name="RefinedFuels">OFFSET(#REF!, 0, 0, COUNT(IF(#REF!="", "", 1)), 1)</definedName>
    <definedName name="ResTech" localSheetId="1">OFFSET(#REF!,0,0,COUNTA(#REF!))</definedName>
    <definedName name="ResTech">OFFSET(#REF!,0,0,COUNTA(#REF!))</definedName>
    <definedName name="Scenario_name" localSheetId="3">'[2]Basic Information'!$B$9</definedName>
    <definedName name="Scenario_name" localSheetId="0">'[2]Basic Information'!$B$9</definedName>
    <definedName name="Scenario_name" localSheetId="1">'[2]Basic Information'!$B$9</definedName>
    <definedName name="Scenario_name">'[3]Basic Information'!$B$9</definedName>
    <definedName name="Scenario_year" localSheetId="3">'[2]Basic Information'!$C$9</definedName>
    <definedName name="Scenario_year" localSheetId="0">'[2]Basic Information'!$C$9</definedName>
    <definedName name="Scenario_year" localSheetId="1">'[2]Basic Information'!$C$9</definedName>
    <definedName name="Scenario_year">'[3]Basic Information'!$C$9</definedName>
    <definedName name="TerTech" localSheetId="0">OFFSET(#REF!,0,0,COUNTA(#REF!))</definedName>
    <definedName name="TerTech" localSheetId="1">OFFSET(#REF!,0,0,COUNTA(#REF!))</definedName>
    <definedName name="TerTech">OFFSET(#REF!,0,0,COUNTA(#REF!))</definedName>
    <definedName name="Total_CH4_Emiss_t" localSheetId="1">#REF!</definedName>
    <definedName name="Total_CH4_Emiss_t">#REF!</definedName>
    <definedName name="Total_CO2_AC_Emiss_t" localSheetId="1">#REF!</definedName>
    <definedName name="Total_CO2_AC_Emiss_t">#REF!</definedName>
    <definedName name="Total_CO2_Emiss_t" localSheetId="1">#REF!</definedName>
    <definedName name="Total_CO2_Emiss_t">#REF!</definedName>
    <definedName name="Total_CO2_Lube_Emiss_t" localSheetId="1">#REF!</definedName>
    <definedName name="Total_CO2_Lube_Emiss_t">#REF!</definedName>
    <definedName name="Total_CO2_SCR_Emiss_t" localSheetId="1">#REF!</definedName>
    <definedName name="Total_CO2_SCR_Emiss_t">#REF!</definedName>
    <definedName name="Total_FC_AC_Emiss_t" localSheetId="1">#REF!</definedName>
    <definedName name="Total_FC_AC_Emiss_t">#REF!</definedName>
    <definedName name="Total_N2O_Emiss_t" localSheetId="1">#REF!</definedName>
    <definedName name="Total_N2O_Emiss_t">#REF!</definedName>
    <definedName name="U_CH4_Emiss_t" localSheetId="1">#REF!</definedName>
    <definedName name="U_CH4_Emiss_t">#REF!</definedName>
    <definedName name="U_CO2_AC_Emiss_t" localSheetId="1">#REF!</definedName>
    <definedName name="U_CO2_AC_Emiss_t">#REF!</definedName>
    <definedName name="U_CO2_Emiss_t" localSheetId="1">#REF!</definedName>
    <definedName name="U_CO2_Emiss_t">#REF!</definedName>
    <definedName name="U_CO2_Lube_Emiss_t" localSheetId="1">#REF!</definedName>
    <definedName name="U_CO2_Lube_Emiss_t">#REF!</definedName>
    <definedName name="U_CO2_SCR_Emiss_t" localSheetId="1">#REF!</definedName>
    <definedName name="U_CO2_SCR_Emiss_t">#REF!</definedName>
    <definedName name="U_FC_AC_Emiss_t" localSheetId="1">#REF!</definedName>
    <definedName name="U_FC_AC_Emiss_t">#REF!</definedName>
    <definedName name="U_FC_Emiss_t" localSheetId="1">#REF!</definedName>
    <definedName name="U_FC_Emiss_t">#REF!</definedName>
    <definedName name="U_N2O_Emiss_t" localSheetId="1">#REF!</definedName>
    <definedName name="U_N2O_Emiss_t">#REF!</definedName>
    <definedName name="U_Share_perc" localSheetId="1">#REF!</definedName>
    <definedName name="U_Share_perc">#REF!</definedName>
    <definedName name="U_Speed_km_per_h" localSheetId="1">#REF!</definedName>
    <definedName name="U_Speed_km_per_h">#REF!</definedName>
    <definedName name="VSTAK2050" localSheetId="3">'[5]Basic Information'!$B$9</definedName>
    <definedName name="VSTAK2050" localSheetId="0">'[5]Basic Information'!$B$9</definedName>
    <definedName name="VSTAK2050" localSheetId="1">'[5]Basic Information'!$B$9</definedName>
    <definedName name="VSTAK2050">'[1]Basic Information'!$B$9</definedName>
  </definedNames>
  <calcPr calcId="152511"/>
</workbook>
</file>

<file path=xl/calcChain.xml><?xml version="1.0" encoding="utf-8"?>
<calcChain xmlns="http://schemas.openxmlformats.org/spreadsheetml/2006/main">
  <c r="E51" i="2" l="1"/>
  <c r="E50" i="2"/>
  <c r="O50" i="2" s="1"/>
  <c r="D49" i="2"/>
  <c r="C49" i="2"/>
  <c r="E48" i="2"/>
  <c r="E47" i="2"/>
  <c r="O47" i="2" s="1"/>
  <c r="E46" i="2"/>
  <c r="E45" i="2"/>
  <c r="E44" i="2"/>
  <c r="E40" i="2"/>
  <c r="O40" i="2" s="1"/>
  <c r="E39" i="2"/>
  <c r="E38" i="2"/>
  <c r="E37" i="2"/>
  <c r="E36" i="2"/>
  <c r="E131" i="2" s="1"/>
  <c r="O131" i="2" s="1"/>
  <c r="E35" i="2"/>
  <c r="E34" i="2"/>
  <c r="E33" i="2"/>
  <c r="E29" i="2"/>
  <c r="O29" i="2" s="1"/>
  <c r="E28" i="2"/>
  <c r="D27" i="2"/>
  <c r="E27" i="2" s="1"/>
  <c r="C27" i="2"/>
  <c r="D26" i="2"/>
  <c r="E25" i="2"/>
  <c r="E24" i="2"/>
  <c r="E23" i="2"/>
  <c r="O23" i="2" s="1"/>
  <c r="E22" i="2"/>
  <c r="D18" i="2"/>
  <c r="E18" i="2" s="1"/>
  <c r="C18" i="2"/>
  <c r="E17" i="2"/>
  <c r="D16" i="2"/>
  <c r="D15" i="2"/>
  <c r="E15" i="2" s="1"/>
  <c r="E14" i="2"/>
  <c r="D13" i="2"/>
  <c r="D60" i="2" s="1"/>
  <c r="N60" i="2" s="1"/>
  <c r="E12" i="2"/>
  <c r="D11" i="2"/>
  <c r="E11" i="2" s="1"/>
  <c r="J146" i="5"/>
  <c r="J145" i="5"/>
  <c r="J144" i="5"/>
  <c r="J143" i="5"/>
  <c r="J141" i="5"/>
  <c r="J131" i="5"/>
  <c r="J146" i="2"/>
  <c r="J145" i="2"/>
  <c r="J144" i="2"/>
  <c r="J143" i="2"/>
  <c r="J141" i="2"/>
  <c r="J135" i="2"/>
  <c r="J134" i="2"/>
  <c r="J133" i="2"/>
  <c r="J132" i="2"/>
  <c r="J131" i="2"/>
  <c r="J139" i="2"/>
  <c r="J140" i="2"/>
  <c r="J142" i="2"/>
  <c r="I139" i="2"/>
  <c r="I140" i="2"/>
  <c r="I141" i="5"/>
  <c r="I142" i="5"/>
  <c r="I143" i="5"/>
  <c r="I144" i="5"/>
  <c r="I145" i="2"/>
  <c r="I146" i="5"/>
  <c r="H139" i="2"/>
  <c r="H140" i="2"/>
  <c r="H141" i="5"/>
  <c r="H142" i="5"/>
  <c r="H143" i="5"/>
  <c r="H144" i="5"/>
  <c r="H145" i="2"/>
  <c r="H146" i="5"/>
  <c r="J128" i="2"/>
  <c r="J129" i="2"/>
  <c r="J130" i="2"/>
  <c r="I128" i="2"/>
  <c r="I129" i="2"/>
  <c r="I130" i="5"/>
  <c r="I131" i="5"/>
  <c r="I132" i="5"/>
  <c r="I133" i="5"/>
  <c r="I134" i="2"/>
  <c r="I135" i="5"/>
  <c r="H128" i="2"/>
  <c r="H129" i="2"/>
  <c r="H130" i="5"/>
  <c r="H131" i="5"/>
  <c r="H132" i="5"/>
  <c r="H133" i="5"/>
  <c r="H134" i="2"/>
  <c r="H135" i="5"/>
  <c r="L136" i="2"/>
  <c r="J117" i="2"/>
  <c r="J118" i="2"/>
  <c r="J119" i="2"/>
  <c r="J120" i="2"/>
  <c r="J121" i="2"/>
  <c r="J122" i="2"/>
  <c r="J123" i="2"/>
  <c r="J124" i="2"/>
  <c r="I106" i="2"/>
  <c r="I117" i="2" s="1"/>
  <c r="I107" i="2"/>
  <c r="I118" i="2"/>
  <c r="I108" i="5"/>
  <c r="I119" i="5" s="1"/>
  <c r="I109" i="5"/>
  <c r="I120" i="5"/>
  <c r="I110" i="5"/>
  <c r="I121" i="5" s="1"/>
  <c r="I111" i="5"/>
  <c r="I122" i="5" s="1"/>
  <c r="I112" i="2"/>
  <c r="I123" i="2"/>
  <c r="I113" i="5"/>
  <c r="I124" i="5" s="1"/>
  <c r="H106" i="2"/>
  <c r="H117" i="2"/>
  <c r="H107" i="2"/>
  <c r="H118" i="2" s="1"/>
  <c r="H108" i="5"/>
  <c r="H119" i="5"/>
  <c r="H109" i="5"/>
  <c r="H120" i="5" s="1"/>
  <c r="H110" i="5"/>
  <c r="H121" i="5" s="1"/>
  <c r="H111" i="5"/>
  <c r="H122" i="5" s="1"/>
  <c r="H112" i="2"/>
  <c r="H123" i="2"/>
  <c r="H113" i="5"/>
  <c r="H124" i="5" s="1"/>
  <c r="J106" i="2"/>
  <c r="J107" i="2"/>
  <c r="J108" i="2"/>
  <c r="J109" i="2"/>
  <c r="J110" i="2"/>
  <c r="J111" i="2"/>
  <c r="J112" i="2"/>
  <c r="J113" i="2"/>
  <c r="J91" i="2"/>
  <c r="J92" i="2"/>
  <c r="J93" i="2"/>
  <c r="J94" i="2"/>
  <c r="J95" i="2"/>
  <c r="J96" i="2"/>
  <c r="J97" i="2"/>
  <c r="J98" i="2"/>
  <c r="I58" i="2"/>
  <c r="I69" i="2"/>
  <c r="I80" i="2" s="1"/>
  <c r="I91" i="2" s="1"/>
  <c r="I59" i="2"/>
  <c r="I70" i="2" s="1"/>
  <c r="I81" i="2" s="1"/>
  <c r="I92" i="2" s="1"/>
  <c r="I60" i="5"/>
  <c r="I71" i="5"/>
  <c r="I61" i="5"/>
  <c r="I72" i="5" s="1"/>
  <c r="I83" i="5" s="1"/>
  <c r="I94" i="5" s="1"/>
  <c r="I62" i="5"/>
  <c r="I73" i="5"/>
  <c r="I84" i="5" s="1"/>
  <c r="I95" i="5" s="1"/>
  <c r="I63" i="5"/>
  <c r="I74" i="5" s="1"/>
  <c r="I85" i="5" s="1"/>
  <c r="I64" i="2"/>
  <c r="I75" i="2"/>
  <c r="I86" i="2" s="1"/>
  <c r="I97" i="2" s="1"/>
  <c r="I65" i="5"/>
  <c r="I76" i="5" s="1"/>
  <c r="I87" i="5" s="1"/>
  <c r="I98" i="5" s="1"/>
  <c r="H11" i="2"/>
  <c r="M11" i="2" s="1"/>
  <c r="H22" i="2"/>
  <c r="H33" i="2" s="1"/>
  <c r="H60" i="5"/>
  <c r="H71" i="5" s="1"/>
  <c r="H61" i="5"/>
  <c r="H72" i="5" s="1"/>
  <c r="H83" i="5"/>
  <c r="H94" i="5" s="1"/>
  <c r="H62" i="5"/>
  <c r="H73" i="5" s="1"/>
  <c r="H84" i="5"/>
  <c r="H63" i="5"/>
  <c r="H74" i="5" s="1"/>
  <c r="H85" i="5"/>
  <c r="H96" i="5"/>
  <c r="H64" i="2"/>
  <c r="H75" i="2" s="1"/>
  <c r="H86" i="2" s="1"/>
  <c r="H97" i="2" s="1"/>
  <c r="H65" i="5"/>
  <c r="H76" i="5" s="1"/>
  <c r="H87" i="5"/>
  <c r="H98" i="5" s="1"/>
  <c r="J80" i="2"/>
  <c r="J81" i="2"/>
  <c r="J82" i="2"/>
  <c r="J83" i="2"/>
  <c r="J84" i="2"/>
  <c r="J85" i="2"/>
  <c r="J86" i="2"/>
  <c r="J87" i="2"/>
  <c r="L88" i="2"/>
  <c r="J69" i="2"/>
  <c r="J70" i="2"/>
  <c r="J71" i="2"/>
  <c r="J72" i="2"/>
  <c r="J73" i="2"/>
  <c r="J74" i="2"/>
  <c r="J75" i="2"/>
  <c r="J76" i="2"/>
  <c r="H69" i="2"/>
  <c r="J58" i="2"/>
  <c r="J59" i="2"/>
  <c r="J60" i="2"/>
  <c r="J61" i="2"/>
  <c r="J62" i="2"/>
  <c r="J63" i="2"/>
  <c r="J64" i="2"/>
  <c r="J65" i="2"/>
  <c r="H58" i="2"/>
  <c r="H59" i="2"/>
  <c r="J44" i="2"/>
  <c r="O44" i="2" s="1"/>
  <c r="J45" i="2"/>
  <c r="O45" i="2"/>
  <c r="J46" i="2"/>
  <c r="J47" i="2"/>
  <c r="J48" i="2"/>
  <c r="O48" i="2" s="1"/>
  <c r="J49" i="2"/>
  <c r="J50" i="2"/>
  <c r="J51" i="2"/>
  <c r="O51" i="2" s="1"/>
  <c r="I11" i="2"/>
  <c r="N11" i="2" s="1"/>
  <c r="I22" i="2"/>
  <c r="I33" i="2" s="1"/>
  <c r="I44" i="2" s="1"/>
  <c r="N44" i="2"/>
  <c r="I12" i="2"/>
  <c r="I13" i="5"/>
  <c r="I24" i="5" s="1"/>
  <c r="N24" i="2" s="1"/>
  <c r="I35" i="5"/>
  <c r="I14" i="5"/>
  <c r="I25" i="5"/>
  <c r="N25" i="2" s="1"/>
  <c r="I36" i="5"/>
  <c r="I15" i="5"/>
  <c r="N15" i="2" s="1"/>
  <c r="I26" i="5"/>
  <c r="I37" i="5" s="1"/>
  <c r="I48" i="5" s="1"/>
  <c r="N48" i="2"/>
  <c r="I16" i="5"/>
  <c r="I27" i="5" s="1"/>
  <c r="I17" i="2"/>
  <c r="I28" i="2" s="1"/>
  <c r="I18" i="5"/>
  <c r="I29" i="5"/>
  <c r="N29" i="2" s="1"/>
  <c r="I40" i="5"/>
  <c r="H13" i="5"/>
  <c r="H24" i="5"/>
  <c r="H14" i="5"/>
  <c r="M14" i="2" s="1"/>
  <c r="H25" i="5"/>
  <c r="H15" i="5"/>
  <c r="H17" i="2"/>
  <c r="H28" i="2"/>
  <c r="M28" i="2" s="1"/>
  <c r="H39" i="2"/>
  <c r="H18" i="5"/>
  <c r="M18" i="2" s="1"/>
  <c r="H29" i="5"/>
  <c r="J11" i="2"/>
  <c r="J22" i="2" s="1"/>
  <c r="J33" i="2" s="1"/>
  <c r="O33" i="2" s="1"/>
  <c r="J12" i="2"/>
  <c r="J23" i="2" s="1"/>
  <c r="J34" i="2" s="1"/>
  <c r="O34" i="2"/>
  <c r="J13" i="2"/>
  <c r="J24" i="2" s="1"/>
  <c r="J14" i="2"/>
  <c r="J25" i="2" s="1"/>
  <c r="J36" i="2" s="1"/>
  <c r="O36" i="2"/>
  <c r="J15" i="2"/>
  <c r="J26" i="2" s="1"/>
  <c r="J37" i="2" s="1"/>
  <c r="O37" i="2" s="1"/>
  <c r="J16" i="2"/>
  <c r="J27" i="2" s="1"/>
  <c r="J38" i="2" s="1"/>
  <c r="O38" i="2"/>
  <c r="J17" i="2"/>
  <c r="J28" i="2" s="1"/>
  <c r="J39" i="2" s="1"/>
  <c r="J18" i="2"/>
  <c r="J29" i="2" s="1"/>
  <c r="J40" i="2" s="1"/>
  <c r="N33" i="2"/>
  <c r="N37" i="2"/>
  <c r="M33" i="2"/>
  <c r="N22" i="2"/>
  <c r="M22" i="2"/>
  <c r="O14" i="2"/>
  <c r="N14" i="2"/>
  <c r="N16" i="2"/>
  <c r="N17" i="2"/>
  <c r="N18" i="2"/>
  <c r="M13" i="2"/>
  <c r="M17" i="2"/>
  <c r="N146" i="5"/>
  <c r="I145" i="5"/>
  <c r="H145" i="5"/>
  <c r="H140" i="5"/>
  <c r="H139" i="5"/>
  <c r="I134" i="5"/>
  <c r="N134" i="5"/>
  <c r="H134" i="5"/>
  <c r="M131" i="5"/>
  <c r="M130" i="5"/>
  <c r="H129" i="5"/>
  <c r="H128" i="5"/>
  <c r="M128" i="5"/>
  <c r="J142" i="5"/>
  <c r="J140" i="5"/>
  <c r="E44" i="5"/>
  <c r="E139" i="5" s="1"/>
  <c r="J139" i="5"/>
  <c r="J130" i="5"/>
  <c r="J129" i="5"/>
  <c r="O129" i="5"/>
  <c r="J128" i="5"/>
  <c r="N130" i="5"/>
  <c r="I129" i="5"/>
  <c r="I128" i="5"/>
  <c r="I140" i="5"/>
  <c r="D139" i="5"/>
  <c r="N139" i="5" s="1"/>
  <c r="I139" i="5"/>
  <c r="O156" i="5"/>
  <c r="N156" i="5"/>
  <c r="B167" i="5"/>
  <c r="B160" i="5"/>
  <c r="B175" i="5" s="1"/>
  <c r="B153" i="5"/>
  <c r="I153" i="5"/>
  <c r="I174" i="5" s="1"/>
  <c r="H232" i="2"/>
  <c r="I167" i="5"/>
  <c r="I176" i="5" s="1"/>
  <c r="G153" i="5"/>
  <c r="G174" i="5" s="1"/>
  <c r="D160" i="5"/>
  <c r="D175" i="5" s="1"/>
  <c r="D236" i="2"/>
  <c r="I160" i="5"/>
  <c r="E232" i="2"/>
  <c r="H153" i="5"/>
  <c r="G232" i="2"/>
  <c r="B240" i="2"/>
  <c r="B232" i="2"/>
  <c r="O156" i="2"/>
  <c r="N156" i="2"/>
  <c r="O154" i="5"/>
  <c r="N154" i="5"/>
  <c r="D27" i="5"/>
  <c r="D26" i="5"/>
  <c r="D16" i="5"/>
  <c r="D15" i="5"/>
  <c r="D13" i="5"/>
  <c r="D11" i="5"/>
  <c r="I108" i="2"/>
  <c r="I109" i="2"/>
  <c r="I120" i="2"/>
  <c r="I110" i="2"/>
  <c r="I111" i="2"/>
  <c r="I113" i="2"/>
  <c r="H108" i="2"/>
  <c r="H119" i="2" s="1"/>
  <c r="H109" i="2"/>
  <c r="H120" i="2" s="1"/>
  <c r="H110" i="2"/>
  <c r="H111" i="2"/>
  <c r="H122" i="2" s="1"/>
  <c r="H113" i="2"/>
  <c r="H124" i="2"/>
  <c r="I60" i="2"/>
  <c r="I61" i="2"/>
  <c r="I72" i="2" s="1"/>
  <c r="I62" i="2"/>
  <c r="I63" i="2"/>
  <c r="I74" i="2" s="1"/>
  <c r="I65" i="2"/>
  <c r="I76" i="2"/>
  <c r="H60" i="2"/>
  <c r="H61" i="2"/>
  <c r="H62" i="2"/>
  <c r="H63" i="2"/>
  <c r="H74" i="2"/>
  <c r="H85" i="2" s="1"/>
  <c r="H96" i="2" s="1"/>
  <c r="H65" i="2"/>
  <c r="H76" i="2"/>
  <c r="H87" i="2"/>
  <c r="I13" i="2"/>
  <c r="I24" i="2" s="1"/>
  <c r="I35" i="2" s="1"/>
  <c r="I14" i="2"/>
  <c r="I15" i="2"/>
  <c r="I16" i="2"/>
  <c r="I18" i="2"/>
  <c r="I29" i="2" s="1"/>
  <c r="H13" i="2"/>
  <c r="H15" i="2"/>
  <c r="H26" i="2" s="1"/>
  <c r="H18" i="2"/>
  <c r="I141" i="2"/>
  <c r="I142" i="2"/>
  <c r="I143" i="2"/>
  <c r="I144" i="2"/>
  <c r="I146" i="2"/>
  <c r="H141" i="2"/>
  <c r="H142" i="2"/>
  <c r="H143" i="2"/>
  <c r="H144" i="2"/>
  <c r="H146" i="2"/>
  <c r="I71" i="2"/>
  <c r="I82" i="2" s="1"/>
  <c r="I26" i="2"/>
  <c r="I37" i="2" s="1"/>
  <c r="I48" i="2" s="1"/>
  <c r="H37" i="2"/>
  <c r="H48" i="2" s="1"/>
  <c r="H29" i="2"/>
  <c r="H40" i="2" s="1"/>
  <c r="I130" i="2"/>
  <c r="I131" i="2"/>
  <c r="I132" i="2"/>
  <c r="I133" i="2"/>
  <c r="I135" i="2"/>
  <c r="H130" i="2"/>
  <c r="H131" i="2"/>
  <c r="H132" i="2"/>
  <c r="H133" i="2"/>
  <c r="H135" i="2"/>
  <c r="I119" i="2"/>
  <c r="I121" i="2"/>
  <c r="H121" i="2"/>
  <c r="N220" i="2"/>
  <c r="D220" i="2" s="1"/>
  <c r="P220" i="2"/>
  <c r="R220" i="2"/>
  <c r="N221" i="2"/>
  <c r="P221" i="2"/>
  <c r="R221" i="2"/>
  <c r="N223" i="2"/>
  <c r="P223" i="2"/>
  <c r="R223" i="2"/>
  <c r="N224" i="2"/>
  <c r="P224" i="2"/>
  <c r="R224" i="2"/>
  <c r="N225" i="2"/>
  <c r="P225" i="2"/>
  <c r="R225" i="2"/>
  <c r="N227" i="2"/>
  <c r="P227" i="2"/>
  <c r="R227" i="2"/>
  <c r="N228" i="2"/>
  <c r="P228" i="2"/>
  <c r="R228" i="2"/>
  <c r="N229" i="2"/>
  <c r="P229" i="2"/>
  <c r="R229" i="2"/>
  <c r="N219" i="2"/>
  <c r="D219" i="2" s="1"/>
  <c r="P219" i="2"/>
  <c r="R219" i="2"/>
  <c r="N206" i="2"/>
  <c r="P206" i="2"/>
  <c r="R206" i="2"/>
  <c r="N207" i="2"/>
  <c r="P207" i="2"/>
  <c r="R207" i="2"/>
  <c r="H207" i="2" s="1"/>
  <c r="N209" i="2"/>
  <c r="P209" i="2"/>
  <c r="R209" i="2"/>
  <c r="N210" i="2"/>
  <c r="D210" i="2" s="1"/>
  <c r="P210" i="2"/>
  <c r="R210" i="2"/>
  <c r="N211" i="2"/>
  <c r="P211" i="2"/>
  <c r="R211" i="2"/>
  <c r="N213" i="2"/>
  <c r="P213" i="2"/>
  <c r="R213" i="2"/>
  <c r="N214" i="2"/>
  <c r="P214" i="2"/>
  <c r="R214" i="2"/>
  <c r="N215" i="2"/>
  <c r="P215" i="2"/>
  <c r="R215" i="2"/>
  <c r="N205" i="2"/>
  <c r="P205" i="2"/>
  <c r="R205" i="2"/>
  <c r="N192" i="2"/>
  <c r="P192" i="2"/>
  <c r="R192" i="2"/>
  <c r="N193" i="2"/>
  <c r="P193" i="2"/>
  <c r="R193" i="2"/>
  <c r="N195" i="2"/>
  <c r="P195" i="2"/>
  <c r="R195" i="2"/>
  <c r="N196" i="2"/>
  <c r="P196" i="2"/>
  <c r="R196" i="2"/>
  <c r="N197" i="2"/>
  <c r="P197" i="2"/>
  <c r="R197" i="2"/>
  <c r="H197" i="2" s="1"/>
  <c r="N199" i="2"/>
  <c r="P199" i="2"/>
  <c r="R199" i="2"/>
  <c r="N200" i="2"/>
  <c r="D200" i="2" s="1"/>
  <c r="P200" i="2"/>
  <c r="R200" i="2"/>
  <c r="N201" i="2"/>
  <c r="P201" i="2"/>
  <c r="F201" i="2" s="1"/>
  <c r="R201" i="2"/>
  <c r="N191" i="2"/>
  <c r="P191" i="2"/>
  <c r="R191" i="2"/>
  <c r="Q187" i="2"/>
  <c r="Q215" i="2" s="1"/>
  <c r="O187" i="2"/>
  <c r="O215" i="2"/>
  <c r="Q186" i="2"/>
  <c r="Q228" i="2" s="1"/>
  <c r="O186" i="2"/>
  <c r="Q185" i="2"/>
  <c r="Q213" i="2" s="1"/>
  <c r="O185" i="2"/>
  <c r="O213" i="2"/>
  <c r="E213" i="2" s="1"/>
  <c r="Q183" i="2"/>
  <c r="Q225" i="2" s="1"/>
  <c r="O183" i="2"/>
  <c r="O225" i="2"/>
  <c r="Q182" i="2"/>
  <c r="Q210" i="2" s="1"/>
  <c r="O182" i="2"/>
  <c r="O210" i="2"/>
  <c r="Q181" i="2"/>
  <c r="Q223" i="2"/>
  <c r="G223" i="2" s="1"/>
  <c r="O181" i="2"/>
  <c r="O223" i="2"/>
  <c r="Q179" i="2"/>
  <c r="Q207" i="2"/>
  <c r="O179" i="2"/>
  <c r="O207" i="2"/>
  <c r="Q178" i="2"/>
  <c r="Q220" i="2"/>
  <c r="G220" i="2" s="1"/>
  <c r="O178" i="2"/>
  <c r="O220" i="2"/>
  <c r="Q177" i="2"/>
  <c r="Q205" i="2"/>
  <c r="O177" i="2"/>
  <c r="O205" i="2"/>
  <c r="M237" i="2"/>
  <c r="M241" i="2"/>
  <c r="M185" i="2" s="1"/>
  <c r="M199" i="2" s="1"/>
  <c r="C199" i="2" s="1"/>
  <c r="M238" i="2"/>
  <c r="M239" i="2"/>
  <c r="M243" i="2"/>
  <c r="M187" i="2" s="1"/>
  <c r="M242" i="2"/>
  <c r="M186" i="2"/>
  <c r="M228" i="2" s="1"/>
  <c r="L237" i="2"/>
  <c r="L241" i="2"/>
  <c r="L185" i="2"/>
  <c r="L238" i="2"/>
  <c r="L239" i="2"/>
  <c r="L243" i="2"/>
  <c r="L187" i="2"/>
  <c r="M182" i="2"/>
  <c r="M210" i="2" s="1"/>
  <c r="L181" i="2"/>
  <c r="L209" i="2"/>
  <c r="B209" i="2" s="1"/>
  <c r="L178" i="2"/>
  <c r="L206" i="2" s="1"/>
  <c r="M178" i="2"/>
  <c r="M220" i="2"/>
  <c r="L179" i="2"/>
  <c r="M179" i="2"/>
  <c r="M207" i="2"/>
  <c r="M177" i="2"/>
  <c r="M205" i="2"/>
  <c r="L177" i="2"/>
  <c r="E45" i="5"/>
  <c r="E140" i="5"/>
  <c r="O140" i="5" s="1"/>
  <c r="E46" i="5"/>
  <c r="E47" i="5"/>
  <c r="E142" i="5"/>
  <c r="O142" i="5" s="1"/>
  <c r="E48" i="5"/>
  <c r="E143" i="5" s="1"/>
  <c r="O143" i="5" s="1"/>
  <c r="E144" i="5"/>
  <c r="O144" i="5" s="1"/>
  <c r="E50" i="5"/>
  <c r="E51" i="5"/>
  <c r="E146" i="5"/>
  <c r="O146" i="5" s="1"/>
  <c r="D140" i="5"/>
  <c r="N140" i="5" s="1"/>
  <c r="D141" i="5"/>
  <c r="N141" i="5" s="1"/>
  <c r="D142" i="5"/>
  <c r="N142" i="5" s="1"/>
  <c r="D143" i="5"/>
  <c r="N143" i="5" s="1"/>
  <c r="D144" i="5"/>
  <c r="N144" i="5" s="1"/>
  <c r="D145" i="5"/>
  <c r="D146" i="5"/>
  <c r="F196" i="5"/>
  <c r="C139" i="5"/>
  <c r="M139" i="5" s="1"/>
  <c r="C140" i="5"/>
  <c r="M140" i="5" s="1"/>
  <c r="C141" i="5"/>
  <c r="M141" i="5" s="1"/>
  <c r="C142" i="5"/>
  <c r="M142" i="5" s="1"/>
  <c r="C143" i="5"/>
  <c r="M143" i="5" s="1"/>
  <c r="C49" i="5"/>
  <c r="D49" i="5" s="1"/>
  <c r="E49" i="5" s="1"/>
  <c r="C144" i="5"/>
  <c r="M144" i="5" s="1"/>
  <c r="C145" i="5"/>
  <c r="C146" i="5"/>
  <c r="M146" i="5" s="1"/>
  <c r="B171" i="5"/>
  <c r="B196" i="5"/>
  <c r="E91" i="5"/>
  <c r="J91" i="5"/>
  <c r="E92" i="5"/>
  <c r="J92" i="5"/>
  <c r="O92" i="5"/>
  <c r="J93" i="5"/>
  <c r="E94" i="5"/>
  <c r="O94" i="5" s="1"/>
  <c r="J94" i="5"/>
  <c r="E95" i="5"/>
  <c r="O95" i="5" s="1"/>
  <c r="J95" i="5"/>
  <c r="J96" i="5"/>
  <c r="J97" i="5"/>
  <c r="E98" i="5"/>
  <c r="O98" i="5" s="1"/>
  <c r="J98" i="5"/>
  <c r="D91" i="5"/>
  <c r="I58" i="5"/>
  <c r="I69" i="5" s="1"/>
  <c r="D92" i="5"/>
  <c r="I59" i="5"/>
  <c r="I70" i="5"/>
  <c r="I81" i="5" s="1"/>
  <c r="N81" i="5" s="1"/>
  <c r="D93" i="5"/>
  <c r="D94" i="5"/>
  <c r="D95" i="5"/>
  <c r="D96" i="5"/>
  <c r="D97" i="5"/>
  <c r="I64" i="5"/>
  <c r="I75" i="5"/>
  <c r="N75" i="5" s="1"/>
  <c r="D98" i="5"/>
  <c r="N98" i="5" s="1"/>
  <c r="F195" i="5"/>
  <c r="C91" i="5"/>
  <c r="H11" i="5"/>
  <c r="H12" i="5" s="1"/>
  <c r="H23" i="5" s="1"/>
  <c r="M23" i="5" s="1"/>
  <c r="H22" i="5"/>
  <c r="C92" i="5"/>
  <c r="C93" i="5"/>
  <c r="C94" i="5"/>
  <c r="C95" i="5"/>
  <c r="C96" i="5"/>
  <c r="C97" i="5"/>
  <c r="H64" i="5"/>
  <c r="H75" i="5"/>
  <c r="C98" i="5"/>
  <c r="B164" i="5"/>
  <c r="B195" i="5"/>
  <c r="J44" i="5"/>
  <c r="O44" i="5"/>
  <c r="J45" i="5"/>
  <c r="O45" i="5" s="1"/>
  <c r="J46" i="5"/>
  <c r="J47" i="5"/>
  <c r="O47" i="5" s="1"/>
  <c r="J48" i="5"/>
  <c r="J49" i="5"/>
  <c r="J50" i="5"/>
  <c r="O50" i="5"/>
  <c r="J51" i="5"/>
  <c r="O51" i="5" s="1"/>
  <c r="I11" i="5"/>
  <c r="I22" i="5"/>
  <c r="I33" i="5" s="1"/>
  <c r="I44" i="5" s="1"/>
  <c r="N44" i="5" s="1"/>
  <c r="I12" i="5"/>
  <c r="I23" i="5"/>
  <c r="I17" i="5"/>
  <c r="I28" i="5" s="1"/>
  <c r="F194" i="5"/>
  <c r="H17" i="5"/>
  <c r="B157" i="5"/>
  <c r="B194" i="5"/>
  <c r="E33" i="5"/>
  <c r="E34" i="5"/>
  <c r="E129" i="5" s="1"/>
  <c r="E35" i="5"/>
  <c r="E130" i="5"/>
  <c r="O130" i="5" s="1"/>
  <c r="E36" i="5"/>
  <c r="E131" i="5" s="1"/>
  <c r="O131" i="5" s="1"/>
  <c r="E37" i="5"/>
  <c r="E84" i="5" s="1"/>
  <c r="E132" i="5"/>
  <c r="O132" i="5" s="1"/>
  <c r="J132" i="5"/>
  <c r="E38" i="5"/>
  <c r="E133" i="5"/>
  <c r="O133" i="5" s="1"/>
  <c r="J133" i="5"/>
  <c r="E39" i="5"/>
  <c r="J134" i="5"/>
  <c r="E40" i="5"/>
  <c r="E87" i="5" s="1"/>
  <c r="E135" i="5"/>
  <c r="O135" i="5" s="1"/>
  <c r="J135" i="5"/>
  <c r="D128" i="5"/>
  <c r="N128" i="5" s="1"/>
  <c r="D129" i="5"/>
  <c r="N129" i="5" s="1"/>
  <c r="D130" i="5"/>
  <c r="D131" i="5"/>
  <c r="N131" i="5" s="1"/>
  <c r="D132" i="5"/>
  <c r="N132" i="5" s="1"/>
  <c r="D133" i="5"/>
  <c r="N133" i="5" s="1"/>
  <c r="N136" i="5" s="1"/>
  <c r="G170" i="5" s="1"/>
  <c r="D134" i="5"/>
  <c r="D135" i="5"/>
  <c r="N135" i="5" s="1"/>
  <c r="F191" i="5"/>
  <c r="C128" i="5"/>
  <c r="C129" i="5"/>
  <c r="M129" i="5" s="1"/>
  <c r="C130" i="5"/>
  <c r="C131" i="5"/>
  <c r="C132" i="5"/>
  <c r="M132" i="5" s="1"/>
  <c r="C133" i="5"/>
  <c r="C134" i="5"/>
  <c r="M134" i="5" s="1"/>
  <c r="C135" i="5"/>
  <c r="M135" i="5" s="1"/>
  <c r="B191" i="5"/>
  <c r="J80" i="5"/>
  <c r="E81" i="5"/>
  <c r="O81" i="5" s="1"/>
  <c r="J81" i="5"/>
  <c r="E82" i="5"/>
  <c r="O82" i="5" s="1"/>
  <c r="J82" i="5"/>
  <c r="E83" i="5"/>
  <c r="J83" i="5"/>
  <c r="O83" i="5"/>
  <c r="J84" i="5"/>
  <c r="O84" i="5"/>
  <c r="E85" i="5"/>
  <c r="O85" i="5" s="1"/>
  <c r="J85" i="5"/>
  <c r="J86" i="5"/>
  <c r="J87" i="5"/>
  <c r="O87" i="5"/>
  <c r="D80" i="5"/>
  <c r="D81" i="5"/>
  <c r="D82" i="5"/>
  <c r="D83" i="5"/>
  <c r="N83" i="5" s="1"/>
  <c r="D84" i="5"/>
  <c r="D85" i="5"/>
  <c r="D86" i="5"/>
  <c r="D87" i="5"/>
  <c r="N87" i="5" s="1"/>
  <c r="F190" i="5"/>
  <c r="C80" i="5"/>
  <c r="C81" i="5"/>
  <c r="C82" i="5"/>
  <c r="C83" i="5"/>
  <c r="C84" i="5"/>
  <c r="C85" i="5"/>
  <c r="C86" i="5"/>
  <c r="M86" i="5" s="1"/>
  <c r="C87" i="5"/>
  <c r="B190" i="5"/>
  <c r="J11" i="5"/>
  <c r="J22" i="5"/>
  <c r="J33" i="5" s="1"/>
  <c r="J12" i="5"/>
  <c r="J23" i="5" s="1"/>
  <c r="J13" i="5"/>
  <c r="J24" i="5"/>
  <c r="O24" i="5" s="1"/>
  <c r="J14" i="5"/>
  <c r="J25" i="5" s="1"/>
  <c r="J36" i="5" s="1"/>
  <c r="O36" i="5" s="1"/>
  <c r="J15" i="5"/>
  <c r="J26" i="5"/>
  <c r="J16" i="5"/>
  <c r="J27" i="5" s="1"/>
  <c r="J17" i="5"/>
  <c r="J18" i="5"/>
  <c r="J29" i="5" s="1"/>
  <c r="F156" i="5"/>
  <c r="F189" i="5"/>
  <c r="B189" i="5"/>
  <c r="E22" i="5"/>
  <c r="E117" i="5"/>
  <c r="J117" i="5"/>
  <c r="J118" i="5"/>
  <c r="J119" i="5"/>
  <c r="J120" i="5"/>
  <c r="J121" i="5"/>
  <c r="J122" i="5"/>
  <c r="J123" i="5"/>
  <c r="J124" i="5"/>
  <c r="E23" i="5"/>
  <c r="O23" i="5" s="1"/>
  <c r="E24" i="5"/>
  <c r="E119" i="5"/>
  <c r="E25" i="5"/>
  <c r="E28" i="5"/>
  <c r="E123" i="5"/>
  <c r="O123" i="5" s="1"/>
  <c r="E29" i="5"/>
  <c r="D117" i="5"/>
  <c r="I106" i="5"/>
  <c r="I117" i="5"/>
  <c r="N117" i="5" s="1"/>
  <c r="D118" i="5"/>
  <c r="I107" i="5"/>
  <c r="I118" i="5"/>
  <c r="N118" i="5" s="1"/>
  <c r="D119" i="5"/>
  <c r="N119" i="5"/>
  <c r="D120" i="5"/>
  <c r="N120" i="5" s="1"/>
  <c r="D123" i="5"/>
  <c r="I112" i="5"/>
  <c r="I123" i="5"/>
  <c r="N123" i="5" s="1"/>
  <c r="D124" i="5"/>
  <c r="N124" i="5"/>
  <c r="C117" i="5"/>
  <c r="H106" i="5"/>
  <c r="H117" i="5" s="1"/>
  <c r="M117" i="5"/>
  <c r="C118" i="5"/>
  <c r="M118" i="5" s="1"/>
  <c r="H107" i="5"/>
  <c r="H118" i="5" s="1"/>
  <c r="C119" i="5"/>
  <c r="M119" i="5" s="1"/>
  <c r="C120" i="5"/>
  <c r="M120" i="5"/>
  <c r="C121" i="5"/>
  <c r="C27" i="5"/>
  <c r="C122" i="5"/>
  <c r="M122" i="5" s="1"/>
  <c r="C123" i="5"/>
  <c r="H112" i="5"/>
  <c r="C124" i="5"/>
  <c r="M124" i="5"/>
  <c r="B155" i="5"/>
  <c r="E69" i="5"/>
  <c r="O69" i="5" s="1"/>
  <c r="J69" i="5"/>
  <c r="J70" i="5"/>
  <c r="E71" i="5"/>
  <c r="J71" i="5"/>
  <c r="O71" i="5" s="1"/>
  <c r="J72" i="5"/>
  <c r="J73" i="5"/>
  <c r="J74" i="5"/>
  <c r="E75" i="5"/>
  <c r="J75" i="5"/>
  <c r="O75" i="5"/>
  <c r="J76" i="5"/>
  <c r="D69" i="5"/>
  <c r="D70" i="5"/>
  <c r="D71" i="5"/>
  <c r="D72" i="5"/>
  <c r="D73" i="5"/>
  <c r="D75" i="5"/>
  <c r="D76" i="5"/>
  <c r="C69" i="5"/>
  <c r="C70" i="5"/>
  <c r="C71" i="5"/>
  <c r="C72" i="5"/>
  <c r="M72" i="5" s="1"/>
  <c r="C73" i="5"/>
  <c r="C74" i="5"/>
  <c r="C75" i="5"/>
  <c r="C76" i="5"/>
  <c r="E11" i="5"/>
  <c r="E106" i="5"/>
  <c r="O106" i="5" s="1"/>
  <c r="J106" i="5"/>
  <c r="E12" i="5"/>
  <c r="J107" i="5"/>
  <c r="J108" i="5"/>
  <c r="E14" i="5"/>
  <c r="E61" i="5" s="1"/>
  <c r="E109" i="5"/>
  <c r="O109" i="5" s="1"/>
  <c r="J109" i="5"/>
  <c r="E15" i="5"/>
  <c r="E110" i="5"/>
  <c r="O110" i="5" s="1"/>
  <c r="J110" i="5"/>
  <c r="E16" i="5"/>
  <c r="J111" i="5"/>
  <c r="E17" i="5"/>
  <c r="E112" i="5"/>
  <c r="O112" i="5" s="1"/>
  <c r="J112" i="5"/>
  <c r="D18" i="5"/>
  <c r="D113" i="5" s="1"/>
  <c r="E18" i="5"/>
  <c r="J113" i="5"/>
  <c r="D106" i="5"/>
  <c r="N106" i="5" s="1"/>
  <c r="D107" i="5"/>
  <c r="N107" i="5"/>
  <c r="D109" i="5"/>
  <c r="N109" i="5"/>
  <c r="D110" i="5"/>
  <c r="N110" i="5" s="1"/>
  <c r="D111" i="5"/>
  <c r="N111" i="5"/>
  <c r="D112" i="5"/>
  <c r="N112" i="5" s="1"/>
  <c r="N113" i="5"/>
  <c r="C106" i="5"/>
  <c r="M106" i="5"/>
  <c r="C107" i="5"/>
  <c r="M107" i="5"/>
  <c r="C108" i="5"/>
  <c r="M108" i="5"/>
  <c r="C109" i="5"/>
  <c r="M109" i="5"/>
  <c r="C110" i="5"/>
  <c r="M110" i="5"/>
  <c r="C111" i="5"/>
  <c r="C112" i="5"/>
  <c r="C18" i="5"/>
  <c r="C65" i="5" s="1"/>
  <c r="M65" i="5" s="1"/>
  <c r="C113" i="5"/>
  <c r="M113" i="5" s="1"/>
  <c r="B154" i="5"/>
  <c r="B161" i="5"/>
  <c r="B168" i="5"/>
  <c r="B181" i="5" s="1"/>
  <c r="E58" i="5"/>
  <c r="O58" i="5" s="1"/>
  <c r="J58" i="5"/>
  <c r="J59" i="5"/>
  <c r="J60" i="5"/>
  <c r="J61" i="5"/>
  <c r="J62" i="5"/>
  <c r="O62" i="5"/>
  <c r="J63" i="5"/>
  <c r="J64" i="5"/>
  <c r="J65" i="5"/>
  <c r="E62" i="5"/>
  <c r="E64" i="5"/>
  <c r="O64" i="5" s="1"/>
  <c r="D58" i="5"/>
  <c r="N58" i="5"/>
  <c r="D59" i="5"/>
  <c r="N59" i="5" s="1"/>
  <c r="D60" i="5"/>
  <c r="N60" i="5" s="1"/>
  <c r="D61" i="5"/>
  <c r="N61" i="5" s="1"/>
  <c r="D62" i="5"/>
  <c r="N62" i="5"/>
  <c r="D63" i="5"/>
  <c r="D64" i="5"/>
  <c r="N64" i="5"/>
  <c r="D65" i="5"/>
  <c r="N65" i="5" s="1"/>
  <c r="C58" i="5"/>
  <c r="H58" i="5"/>
  <c r="M58" i="5"/>
  <c r="H59" i="5"/>
  <c r="M60" i="5"/>
  <c r="C59" i="5"/>
  <c r="M59" i="5" s="1"/>
  <c r="C60" i="5"/>
  <c r="C61" i="5"/>
  <c r="C62" i="5"/>
  <c r="M62" i="5" s="1"/>
  <c r="C63" i="5"/>
  <c r="M63" i="5" s="1"/>
  <c r="C64" i="5"/>
  <c r="M64" i="5" s="1"/>
  <c r="B180" i="5"/>
  <c r="O12" i="5"/>
  <c r="O18" i="5"/>
  <c r="N11" i="5"/>
  <c r="N15" i="5"/>
  <c r="M15" i="5"/>
  <c r="B179" i="5"/>
  <c r="B176" i="5"/>
  <c r="B174" i="5"/>
  <c r="B170" i="5"/>
  <c r="B163" i="5"/>
  <c r="B156" i="5"/>
  <c r="I147" i="5"/>
  <c r="L136" i="5"/>
  <c r="I136" i="5"/>
  <c r="I125" i="5"/>
  <c r="B124" i="5"/>
  <c r="A124" i="5"/>
  <c r="B123" i="5"/>
  <c r="A123" i="5"/>
  <c r="B122" i="5"/>
  <c r="B121" i="5"/>
  <c r="A121" i="5"/>
  <c r="B120" i="5"/>
  <c r="A120" i="5"/>
  <c r="B119" i="5"/>
  <c r="A119" i="5"/>
  <c r="B118" i="5"/>
  <c r="A118" i="5"/>
  <c r="B117" i="5"/>
  <c r="A117" i="5"/>
  <c r="D116" i="5"/>
  <c r="C116" i="5"/>
  <c r="B116" i="5"/>
  <c r="A116" i="5"/>
  <c r="I114" i="5"/>
  <c r="B113" i="5"/>
  <c r="A113" i="5"/>
  <c r="B112" i="5"/>
  <c r="A112" i="5"/>
  <c r="B111" i="5"/>
  <c r="B110" i="5"/>
  <c r="A110" i="5"/>
  <c r="B109" i="5"/>
  <c r="A109" i="5"/>
  <c r="B108" i="5"/>
  <c r="A108" i="5"/>
  <c r="B107" i="5"/>
  <c r="A107" i="5"/>
  <c r="B106" i="5"/>
  <c r="A106" i="5"/>
  <c r="D105" i="5"/>
  <c r="C105" i="5"/>
  <c r="B105" i="5"/>
  <c r="A105" i="5"/>
  <c r="L88" i="5"/>
  <c r="B76" i="5"/>
  <c r="A76" i="5"/>
  <c r="B75" i="5"/>
  <c r="A75" i="5"/>
  <c r="B74" i="5"/>
  <c r="B73" i="5"/>
  <c r="A73" i="5"/>
  <c r="B72" i="5"/>
  <c r="A72" i="5"/>
  <c r="B71" i="5"/>
  <c r="A71" i="5"/>
  <c r="B70" i="5"/>
  <c r="A70" i="5"/>
  <c r="B69" i="5"/>
  <c r="A69" i="5"/>
  <c r="D68" i="5"/>
  <c r="C68" i="5"/>
  <c r="B68" i="5"/>
  <c r="A68" i="5"/>
  <c r="A66" i="5"/>
  <c r="B65" i="5"/>
  <c r="A65" i="5"/>
  <c r="B64" i="5"/>
  <c r="A64" i="5"/>
  <c r="B63" i="5"/>
  <c r="B62" i="5"/>
  <c r="A62" i="5"/>
  <c r="B61" i="5"/>
  <c r="A61" i="5"/>
  <c r="B60" i="5"/>
  <c r="A60" i="5"/>
  <c r="B59" i="5"/>
  <c r="A59" i="5"/>
  <c r="B58" i="5"/>
  <c r="A58" i="5"/>
  <c r="D57" i="5"/>
  <c r="C57" i="5"/>
  <c r="B57" i="5"/>
  <c r="A57" i="5"/>
  <c r="C80" i="2"/>
  <c r="C81" i="2"/>
  <c r="C82" i="2"/>
  <c r="C83" i="2"/>
  <c r="M83" i="2" s="1"/>
  <c r="C84" i="2"/>
  <c r="C85" i="2"/>
  <c r="M85" i="2" s="1"/>
  <c r="C86" i="2"/>
  <c r="M86" i="2" s="1"/>
  <c r="C87" i="2"/>
  <c r="M87" i="2" s="1"/>
  <c r="B208" i="2"/>
  <c r="C128" i="2"/>
  <c r="M128" i="2" s="1"/>
  <c r="C129" i="2"/>
  <c r="M129" i="2" s="1"/>
  <c r="C130" i="2"/>
  <c r="M130" i="2" s="1"/>
  <c r="C131" i="2"/>
  <c r="M131" i="2" s="1"/>
  <c r="C132" i="2"/>
  <c r="M132" i="2" s="1"/>
  <c r="C133" i="2"/>
  <c r="M133" i="2" s="1"/>
  <c r="C134" i="2"/>
  <c r="M134" i="2" s="1"/>
  <c r="C135" i="2"/>
  <c r="M135" i="2" s="1"/>
  <c r="B212" i="2"/>
  <c r="B204" i="2"/>
  <c r="C204" i="2" s="1"/>
  <c r="C207" i="2" s="1"/>
  <c r="C139" i="2"/>
  <c r="M139" i="2" s="1"/>
  <c r="C140" i="2"/>
  <c r="M140" i="2" s="1"/>
  <c r="C141" i="2"/>
  <c r="M141" i="2" s="1"/>
  <c r="C142" i="2"/>
  <c r="M142" i="2" s="1"/>
  <c r="C143" i="2"/>
  <c r="M143" i="2" s="1"/>
  <c r="C144" i="2"/>
  <c r="M144" i="2" s="1"/>
  <c r="C145" i="2"/>
  <c r="M145" i="2" s="1"/>
  <c r="C146" i="2"/>
  <c r="M146" i="2" s="1"/>
  <c r="C106" i="2"/>
  <c r="M106" i="2" s="1"/>
  <c r="C107" i="2"/>
  <c r="M107" i="2" s="1"/>
  <c r="C108" i="2"/>
  <c r="M108" i="2" s="1"/>
  <c r="C109" i="2"/>
  <c r="M109" i="2" s="1"/>
  <c r="C110" i="2"/>
  <c r="M110" i="2" s="1"/>
  <c r="C111" i="2"/>
  <c r="M111" i="2" s="1"/>
  <c r="C112" i="2"/>
  <c r="M112" i="2" s="1"/>
  <c r="C113" i="2"/>
  <c r="M113" i="2" s="1"/>
  <c r="D139" i="2"/>
  <c r="N139" i="2" s="1"/>
  <c r="D140" i="2"/>
  <c r="N140" i="2" s="1"/>
  <c r="D141" i="2"/>
  <c r="N141" i="2" s="1"/>
  <c r="D142" i="2"/>
  <c r="N142" i="2" s="1"/>
  <c r="D143" i="2"/>
  <c r="N143" i="2" s="1"/>
  <c r="D145" i="2"/>
  <c r="N145" i="2" s="1"/>
  <c r="D146" i="2"/>
  <c r="N146" i="2" s="1"/>
  <c r="D106" i="2"/>
  <c r="N106" i="2" s="1"/>
  <c r="D107" i="2"/>
  <c r="N107" i="2" s="1"/>
  <c r="D109" i="2"/>
  <c r="N109" i="2" s="1"/>
  <c r="D110" i="2"/>
  <c r="N110" i="2" s="1"/>
  <c r="D112" i="2"/>
  <c r="N112" i="2" s="1"/>
  <c r="D113" i="2"/>
  <c r="N113" i="2" s="1"/>
  <c r="E139" i="2"/>
  <c r="O139" i="2" s="1"/>
  <c r="E140" i="2"/>
  <c r="O140" i="2" s="1"/>
  <c r="E142" i="2"/>
  <c r="O142" i="2" s="1"/>
  <c r="E143" i="2"/>
  <c r="O143" i="2" s="1"/>
  <c r="E146" i="2"/>
  <c r="O146" i="2" s="1"/>
  <c r="C91" i="2"/>
  <c r="C92" i="2"/>
  <c r="C93" i="2"/>
  <c r="C94" i="2"/>
  <c r="M94" i="2" s="1"/>
  <c r="C95" i="2"/>
  <c r="C97" i="2"/>
  <c r="M97" i="2" s="1"/>
  <c r="C98" i="2"/>
  <c r="D91" i="2"/>
  <c r="N91" i="2" s="1"/>
  <c r="D92" i="2"/>
  <c r="N92" i="2" s="1"/>
  <c r="D93" i="2"/>
  <c r="D94" i="2"/>
  <c r="N94" i="2" s="1"/>
  <c r="D95" i="2"/>
  <c r="D97" i="2"/>
  <c r="N97" i="2" s="1"/>
  <c r="D98" i="2"/>
  <c r="E91" i="2"/>
  <c r="O91" i="2" s="1"/>
  <c r="E95" i="2"/>
  <c r="O95" i="2" s="1"/>
  <c r="D128" i="2"/>
  <c r="N128" i="2" s="1"/>
  <c r="D129" i="2"/>
  <c r="N129" i="2" s="1"/>
  <c r="D130" i="2"/>
  <c r="N130" i="2" s="1"/>
  <c r="D131" i="2"/>
  <c r="N131" i="2" s="1"/>
  <c r="D132" i="2"/>
  <c r="N132" i="2" s="1"/>
  <c r="D133" i="2"/>
  <c r="N133" i="2" s="1"/>
  <c r="D134" i="2"/>
  <c r="N134" i="2" s="1"/>
  <c r="D135" i="2"/>
  <c r="N135" i="2" s="1"/>
  <c r="E128" i="2"/>
  <c r="O128" i="2" s="1"/>
  <c r="E129" i="2"/>
  <c r="O129" i="2" s="1"/>
  <c r="E130" i="2"/>
  <c r="O130" i="2" s="1"/>
  <c r="E132" i="2"/>
  <c r="O132" i="2" s="1"/>
  <c r="E133" i="2"/>
  <c r="O133" i="2" s="1"/>
  <c r="D80" i="2"/>
  <c r="N80" i="2" s="1"/>
  <c r="D81" i="2"/>
  <c r="N81" i="2" s="1"/>
  <c r="D82" i="2"/>
  <c r="D83" i="2"/>
  <c r="N83" i="2" s="1"/>
  <c r="D84" i="2"/>
  <c r="D85" i="2"/>
  <c r="D86" i="2"/>
  <c r="N86" i="2" s="1"/>
  <c r="D87" i="2"/>
  <c r="E80" i="2"/>
  <c r="O80" i="2" s="1"/>
  <c r="E84" i="2"/>
  <c r="O84" i="2" s="1"/>
  <c r="B226" i="2"/>
  <c r="B222" i="2"/>
  <c r="B218" i="2"/>
  <c r="B220" i="2" s="1"/>
  <c r="E72" i="2"/>
  <c r="O72" i="2" s="1"/>
  <c r="D69" i="2"/>
  <c r="N69" i="2" s="1"/>
  <c r="D70" i="2"/>
  <c r="N70" i="2" s="1"/>
  <c r="D71" i="2"/>
  <c r="N71" i="2" s="1"/>
  <c r="D72" i="2"/>
  <c r="N72" i="2" s="1"/>
  <c r="D74" i="2"/>
  <c r="D75" i="2"/>
  <c r="N75" i="2" s="1"/>
  <c r="D76" i="2"/>
  <c r="E119" i="2"/>
  <c r="O119" i="2" s="1"/>
  <c r="D117" i="2"/>
  <c r="N117" i="2" s="1"/>
  <c r="D118" i="2"/>
  <c r="N118" i="2" s="1"/>
  <c r="D119" i="2"/>
  <c r="N119" i="2" s="1"/>
  <c r="D120" i="2"/>
  <c r="N120" i="2" s="1"/>
  <c r="D123" i="2"/>
  <c r="D124" i="2"/>
  <c r="N124" i="2" s="1"/>
  <c r="E61" i="2"/>
  <c r="O61" i="2" s="1"/>
  <c r="D58" i="2"/>
  <c r="N58" i="2" s="1"/>
  <c r="D59" i="2"/>
  <c r="N59" i="2" s="1"/>
  <c r="D61" i="2"/>
  <c r="N61" i="2" s="1"/>
  <c r="D62" i="2"/>
  <c r="N62" i="2" s="1"/>
  <c r="D63" i="2"/>
  <c r="N63" i="2" s="1"/>
  <c r="D64" i="2"/>
  <c r="N64" i="2" s="1"/>
  <c r="E109" i="2"/>
  <c r="O109" i="2" s="1"/>
  <c r="E112" i="2"/>
  <c r="O112" i="2" s="1"/>
  <c r="I147" i="2"/>
  <c r="I136" i="2"/>
  <c r="D7" i="3"/>
  <c r="D8" i="3"/>
  <c r="D9" i="3"/>
  <c r="D10" i="3"/>
  <c r="D6" i="3"/>
  <c r="C74" i="2"/>
  <c r="M74" i="2" s="1"/>
  <c r="A57" i="2"/>
  <c r="B57" i="2"/>
  <c r="C57" i="2"/>
  <c r="D57" i="2"/>
  <c r="A58" i="2"/>
  <c r="B58" i="2"/>
  <c r="C58" i="2"/>
  <c r="M58" i="2" s="1"/>
  <c r="A59" i="2"/>
  <c r="B59" i="2"/>
  <c r="C59" i="2"/>
  <c r="M59" i="2" s="1"/>
  <c r="A60" i="2"/>
  <c r="B60" i="2"/>
  <c r="C60" i="2"/>
  <c r="M60" i="2" s="1"/>
  <c r="A61" i="2"/>
  <c r="B61" i="2"/>
  <c r="C61" i="2"/>
  <c r="M61" i="2" s="1"/>
  <c r="A62" i="2"/>
  <c r="B62" i="2"/>
  <c r="C62" i="2"/>
  <c r="M62" i="2" s="1"/>
  <c r="B63" i="2"/>
  <c r="C63" i="2"/>
  <c r="M63" i="2" s="1"/>
  <c r="A64" i="2"/>
  <c r="B64" i="2"/>
  <c r="C64" i="2"/>
  <c r="M64" i="2" s="1"/>
  <c r="A65" i="2"/>
  <c r="B65" i="2"/>
  <c r="A66" i="2"/>
  <c r="A68" i="2"/>
  <c r="B68" i="2"/>
  <c r="C68" i="2"/>
  <c r="D68" i="2"/>
  <c r="A69" i="2"/>
  <c r="B69" i="2"/>
  <c r="C69" i="2"/>
  <c r="M69" i="2" s="1"/>
  <c r="A70" i="2"/>
  <c r="B70" i="2"/>
  <c r="C70" i="2"/>
  <c r="A71" i="2"/>
  <c r="B71" i="2"/>
  <c r="C71" i="2"/>
  <c r="A72" i="2"/>
  <c r="B72" i="2"/>
  <c r="C72" i="2"/>
  <c r="M72" i="2" s="1"/>
  <c r="A73" i="2"/>
  <c r="B73" i="2"/>
  <c r="C73" i="2"/>
  <c r="M73" i="2" s="1"/>
  <c r="B74" i="2"/>
  <c r="A75" i="2"/>
  <c r="B75" i="2"/>
  <c r="C75" i="2"/>
  <c r="M75" i="2" s="1"/>
  <c r="A76" i="2"/>
  <c r="B76" i="2"/>
  <c r="C76" i="2"/>
  <c r="M76" i="2" s="1"/>
  <c r="A105" i="2"/>
  <c r="B105" i="2"/>
  <c r="C105" i="2"/>
  <c r="D105" i="2"/>
  <c r="A106" i="2"/>
  <c r="B106" i="2"/>
  <c r="A107" i="2"/>
  <c r="B107" i="2"/>
  <c r="A108" i="2"/>
  <c r="B108" i="2"/>
  <c r="A109" i="2"/>
  <c r="B109" i="2"/>
  <c r="A110" i="2"/>
  <c r="B110" i="2"/>
  <c r="B111" i="2"/>
  <c r="A112" i="2"/>
  <c r="B112" i="2"/>
  <c r="A113" i="2"/>
  <c r="B113" i="2"/>
  <c r="I114" i="2"/>
  <c r="A116" i="2"/>
  <c r="B116" i="2"/>
  <c r="C116" i="2"/>
  <c r="D116" i="2"/>
  <c r="A117" i="2"/>
  <c r="B117" i="2"/>
  <c r="C117" i="2"/>
  <c r="M117" i="2" s="1"/>
  <c r="A118" i="2"/>
  <c r="B118" i="2"/>
  <c r="C118" i="2"/>
  <c r="M118" i="2" s="1"/>
  <c r="A119" i="2"/>
  <c r="B119" i="2"/>
  <c r="C119" i="2"/>
  <c r="M119" i="2" s="1"/>
  <c r="A120" i="2"/>
  <c r="B120" i="2"/>
  <c r="C120" i="2"/>
  <c r="M120" i="2" s="1"/>
  <c r="A121" i="2"/>
  <c r="B121" i="2"/>
  <c r="C121" i="2"/>
  <c r="M121" i="2" s="1"/>
  <c r="B122" i="2"/>
  <c r="C122" i="2"/>
  <c r="M122" i="2" s="1"/>
  <c r="A123" i="2"/>
  <c r="B123" i="2"/>
  <c r="C123" i="2"/>
  <c r="M123" i="2" s="1"/>
  <c r="A124" i="2"/>
  <c r="B124" i="2"/>
  <c r="C124" i="2"/>
  <c r="M124" i="2" s="1"/>
  <c r="I125" i="2"/>
  <c r="B236" i="2"/>
  <c r="B176" i="2"/>
  <c r="B177" i="2" s="1"/>
  <c r="N7" i="1"/>
  <c r="N35" i="1" s="1"/>
  <c r="O7" i="1"/>
  <c r="P7" i="1"/>
  <c r="Q7" i="1"/>
  <c r="P8" i="1"/>
  <c r="Q8" i="1"/>
  <c r="H13" i="1"/>
  <c r="I13" i="1"/>
  <c r="J13" i="1"/>
  <c r="H14" i="1"/>
  <c r="I14" i="1"/>
  <c r="J14" i="1"/>
  <c r="H15" i="1"/>
  <c r="I15" i="1"/>
  <c r="J15" i="1"/>
  <c r="N21" i="1"/>
  <c r="O21" i="1"/>
  <c r="P21" i="1"/>
  <c r="Q21" i="1"/>
  <c r="H26" i="1"/>
  <c r="I26" i="1"/>
  <c r="J26" i="1"/>
  <c r="H27" i="1"/>
  <c r="I27" i="1"/>
  <c r="J27" i="1"/>
  <c r="O35" i="1"/>
  <c r="P35" i="1"/>
  <c r="Q35" i="1"/>
  <c r="O36" i="1"/>
  <c r="P36" i="1"/>
  <c r="Q36" i="1"/>
  <c r="H41" i="1"/>
  <c r="I41" i="1"/>
  <c r="J41" i="1"/>
  <c r="H42" i="1"/>
  <c r="I42" i="1"/>
  <c r="J42" i="1"/>
  <c r="H43" i="1"/>
  <c r="I43" i="1"/>
  <c r="J43" i="1"/>
  <c r="N50" i="1"/>
  <c r="O50" i="1"/>
  <c r="P50" i="1"/>
  <c r="Q50" i="1"/>
  <c r="H55" i="1"/>
  <c r="I55" i="1"/>
  <c r="J55" i="1"/>
  <c r="H56" i="1"/>
  <c r="I56" i="1"/>
  <c r="J56" i="1"/>
  <c r="H123" i="5"/>
  <c r="M123" i="5"/>
  <c r="M112" i="5"/>
  <c r="M111" i="5"/>
  <c r="H73" i="2"/>
  <c r="H84" i="2" s="1"/>
  <c r="H71" i="2"/>
  <c r="N18" i="5"/>
  <c r="N16" i="5"/>
  <c r="N14" i="5"/>
  <c r="N12" i="5"/>
  <c r="H72" i="2"/>
  <c r="H83" i="2" s="1"/>
  <c r="H94" i="2" s="1"/>
  <c r="M12" i="5"/>
  <c r="N25" i="5"/>
  <c r="M29" i="5"/>
  <c r="M13" i="5"/>
  <c r="M61" i="5"/>
  <c r="N22" i="5"/>
  <c r="H82" i="2"/>
  <c r="H93" i="2" s="1"/>
  <c r="D65" i="2"/>
  <c r="D122" i="2"/>
  <c r="N122" i="2" s="1"/>
  <c r="E124" i="2"/>
  <c r="O124" i="2" s="1"/>
  <c r="E120" i="2"/>
  <c r="O120" i="2" s="1"/>
  <c r="M181" i="2"/>
  <c r="M223" i="2"/>
  <c r="M183" i="2"/>
  <c r="H24" i="2"/>
  <c r="H35" i="2"/>
  <c r="H46" i="2" s="1"/>
  <c r="I40" i="2"/>
  <c r="I51" i="2" s="1"/>
  <c r="I87" i="2"/>
  <c r="I85" i="2"/>
  <c r="I96" i="2" s="1"/>
  <c r="I83" i="2"/>
  <c r="I94" i="2" s="1"/>
  <c r="C65" i="2"/>
  <c r="M65" i="2" s="1"/>
  <c r="E118" i="2"/>
  <c r="O118" i="2" s="1"/>
  <c r="E85" i="2"/>
  <c r="O85" i="2" s="1"/>
  <c r="E83" i="2"/>
  <c r="O83" i="2" s="1"/>
  <c r="E81" i="2"/>
  <c r="O81" i="2" s="1"/>
  <c r="E98" i="2"/>
  <c r="O98" i="2" s="1"/>
  <c r="E94" i="2"/>
  <c r="O94" i="2" s="1"/>
  <c r="E92" i="2"/>
  <c r="O92" i="2" s="1"/>
  <c r="C96" i="2"/>
  <c r="L183" i="2"/>
  <c r="L211" i="2"/>
  <c r="H98" i="2"/>
  <c r="B211" i="2"/>
  <c r="B206" i="2"/>
  <c r="B198" i="2"/>
  <c r="B194" i="2"/>
  <c r="B184" i="2"/>
  <c r="B180" i="2"/>
  <c r="B187" i="2"/>
  <c r="M215" i="2"/>
  <c r="C215" i="2" s="1"/>
  <c r="M229" i="2"/>
  <c r="M201" i="2"/>
  <c r="M213" i="2"/>
  <c r="M227" i="2"/>
  <c r="B190" i="2"/>
  <c r="E71" i="2"/>
  <c r="O71" i="2" s="1"/>
  <c r="L191" i="2"/>
  <c r="Q191" i="2"/>
  <c r="O191" i="2"/>
  <c r="M191" i="2"/>
  <c r="C191" i="2" s="1"/>
  <c r="Q201" i="2"/>
  <c r="O201" i="2"/>
  <c r="Q199" i="2"/>
  <c r="O199" i="2"/>
  <c r="O196" i="2"/>
  <c r="M196" i="2"/>
  <c r="C196" i="2" s="1"/>
  <c r="L195" i="2"/>
  <c r="Q193" i="2"/>
  <c r="O193" i="2"/>
  <c r="M193" i="2"/>
  <c r="C193" i="2" s="1"/>
  <c r="L192" i="2"/>
  <c r="M214" i="2"/>
  <c r="Q211" i="2"/>
  <c r="O211" i="2"/>
  <c r="Q209" i="2"/>
  <c r="O209" i="2"/>
  <c r="Q206" i="2"/>
  <c r="O206" i="2"/>
  <c r="M206" i="2"/>
  <c r="L219" i="2"/>
  <c r="Q219" i="2"/>
  <c r="O219" i="2"/>
  <c r="M219" i="2"/>
  <c r="Q229" i="2"/>
  <c r="O229" i="2"/>
  <c r="Q227" i="2"/>
  <c r="O227" i="2"/>
  <c r="Q224" i="2"/>
  <c r="O224" i="2"/>
  <c r="M224" i="2"/>
  <c r="L223" i="2"/>
  <c r="B223" i="2"/>
  <c r="Q221" i="2"/>
  <c r="G221" i="2" s="1"/>
  <c r="O221" i="2"/>
  <c r="M221" i="2"/>
  <c r="L220" i="2"/>
  <c r="H16" i="2"/>
  <c r="H14" i="2"/>
  <c r="H25" i="2" s="1"/>
  <c r="H36" i="2" s="1"/>
  <c r="H47" i="2" s="1"/>
  <c r="F176" i="2"/>
  <c r="F177" i="2" s="1"/>
  <c r="M200" i="2"/>
  <c r="Q197" i="2"/>
  <c r="G197" i="2" s="1"/>
  <c r="O197" i="2"/>
  <c r="Q195" i="2"/>
  <c r="O195" i="2"/>
  <c r="Q192" i="2"/>
  <c r="O192" i="2"/>
  <c r="E192" i="2" s="1"/>
  <c r="M192" i="2"/>
  <c r="L205" i="2"/>
  <c r="B205" i="2" s="1"/>
  <c r="N36" i="5"/>
  <c r="H51" i="2"/>
  <c r="O11" i="5"/>
  <c r="O15" i="5"/>
  <c r="N17" i="5"/>
  <c r="N13" i="5"/>
  <c r="N26" i="5"/>
  <c r="I124" i="2"/>
  <c r="I122" i="2"/>
  <c r="I27" i="2"/>
  <c r="I25" i="2"/>
  <c r="I36" i="2" s="1"/>
  <c r="I47" i="2" s="1"/>
  <c r="I73" i="2"/>
  <c r="I84" i="2" s="1"/>
  <c r="I95" i="2" s="1"/>
  <c r="J40" i="5"/>
  <c r="O29" i="5"/>
  <c r="J38" i="5"/>
  <c r="O38" i="5" s="1"/>
  <c r="J34" i="5"/>
  <c r="O34" i="5"/>
  <c r="J37" i="5"/>
  <c r="O37" i="5" s="1"/>
  <c r="J35" i="5"/>
  <c r="O35" i="5"/>
  <c r="O33" i="5"/>
  <c r="O22" i="5"/>
  <c r="I93" i="2"/>
  <c r="N27" i="5"/>
  <c r="N23" i="5"/>
  <c r="I34" i="5"/>
  <c r="M24" i="5"/>
  <c r="I39" i="5"/>
  <c r="I50" i="5" s="1"/>
  <c r="N50" i="5" s="1"/>
  <c r="N28" i="5"/>
  <c r="N37" i="5"/>
  <c r="N48" i="5"/>
  <c r="N24" i="5"/>
  <c r="N33" i="5"/>
  <c r="M76" i="5"/>
  <c r="H86" i="5"/>
  <c r="M75" i="5"/>
  <c r="M74" i="5"/>
  <c r="M73" i="5"/>
  <c r="H70" i="5"/>
  <c r="M70" i="5" s="1"/>
  <c r="N76" i="5"/>
  <c r="I86" i="5"/>
  <c r="N73" i="5"/>
  <c r="N72" i="5"/>
  <c r="I80" i="5"/>
  <c r="N69" i="5"/>
  <c r="I46" i="2"/>
  <c r="H218" i="2"/>
  <c r="F184" i="2"/>
  <c r="F187" i="2" s="1"/>
  <c r="M195" i="2"/>
  <c r="C195" i="2" s="1"/>
  <c r="M209" i="2"/>
  <c r="H194" i="2"/>
  <c r="H176" i="2"/>
  <c r="H177" i="2" s="1"/>
  <c r="H212" i="2"/>
  <c r="H214" i="2" s="1"/>
  <c r="H198" i="2"/>
  <c r="H199" i="2" s="1"/>
  <c r="H178" i="2"/>
  <c r="B183" i="2"/>
  <c r="L225" i="2"/>
  <c r="B225" i="2" s="1"/>
  <c r="L197" i="2"/>
  <c r="B197" i="2" s="1"/>
  <c r="H180" i="2"/>
  <c r="H182" i="2" s="1"/>
  <c r="C184" i="2"/>
  <c r="C187" i="2" s="1"/>
  <c r="H222" i="2"/>
  <c r="H224" i="2" s="1"/>
  <c r="I98" i="2"/>
  <c r="H208" i="2"/>
  <c r="F180" i="2"/>
  <c r="C198" i="2"/>
  <c r="C201" i="2" s="1"/>
  <c r="F212" i="2"/>
  <c r="F214" i="2" s="1"/>
  <c r="H95" i="2"/>
  <c r="H179" i="2"/>
  <c r="H27" i="2"/>
  <c r="B195" i="2"/>
  <c r="D184" i="2"/>
  <c r="D186" i="2" s="1"/>
  <c r="I38" i="2"/>
  <c r="H195" i="2"/>
  <c r="H196" i="2"/>
  <c r="F179" i="2"/>
  <c r="F178" i="2"/>
  <c r="M14" i="5"/>
  <c r="D198" i="2"/>
  <c r="F213" i="2"/>
  <c r="I45" i="5"/>
  <c r="N45" i="5"/>
  <c r="N34" i="5"/>
  <c r="E226" i="2"/>
  <c r="E227" i="2" s="1"/>
  <c r="H221" i="2"/>
  <c r="H220" i="2"/>
  <c r="H219" i="2"/>
  <c r="F198" i="2"/>
  <c r="F200" i="2" s="1"/>
  <c r="N94" i="5"/>
  <c r="N84" i="5"/>
  <c r="N95" i="5"/>
  <c r="N86" i="5"/>
  <c r="I97" i="5"/>
  <c r="N97" i="5" s="1"/>
  <c r="M94" i="5"/>
  <c r="M83" i="5"/>
  <c r="M85" i="5"/>
  <c r="H97" i="5"/>
  <c r="M97" i="5" s="1"/>
  <c r="M98" i="5"/>
  <c r="M87" i="5"/>
  <c r="N39" i="5"/>
  <c r="C226" i="2"/>
  <c r="D226" i="2"/>
  <c r="H210" i="2"/>
  <c r="G212" i="2"/>
  <c r="E180" i="2"/>
  <c r="E181" i="2"/>
  <c r="D212" i="2"/>
  <c r="C212" i="2" s="1"/>
  <c r="C214" i="2" s="1"/>
  <c r="E184" i="2"/>
  <c r="H190" i="2"/>
  <c r="H192" i="2" s="1"/>
  <c r="H184" i="2"/>
  <c r="H185" i="2" s="1"/>
  <c r="E198" i="2"/>
  <c r="E199" i="2" s="1"/>
  <c r="E212" i="2"/>
  <c r="E215" i="2" s="1"/>
  <c r="G213" i="2"/>
  <c r="D180" i="2"/>
  <c r="D181" i="2" s="1"/>
  <c r="C180" i="2"/>
  <c r="H38" i="2"/>
  <c r="H49" i="2" s="1"/>
  <c r="E190" i="2"/>
  <c r="E191" i="2" s="1"/>
  <c r="D187" i="2"/>
  <c r="D215" i="2"/>
  <c r="D214" i="2"/>
  <c r="F190" i="2"/>
  <c r="F193" i="2" s="1"/>
  <c r="F232" i="2"/>
  <c r="I49" i="2"/>
  <c r="F194" i="2"/>
  <c r="G194" i="2" s="1"/>
  <c r="H204" i="2"/>
  <c r="H205" i="2" s="1"/>
  <c r="E194" i="2"/>
  <c r="E196" i="2" s="1"/>
  <c r="F186" i="2"/>
  <c r="F183" i="2"/>
  <c r="F182" i="2"/>
  <c r="F181" i="2"/>
  <c r="E229" i="2"/>
  <c r="H183" i="2"/>
  <c r="H181" i="2"/>
  <c r="D201" i="2"/>
  <c r="D199" i="2"/>
  <c r="G226" i="2"/>
  <c r="G229" i="2" s="1"/>
  <c r="C229" i="2"/>
  <c r="D227" i="2"/>
  <c r="E182" i="2"/>
  <c r="E183" i="2"/>
  <c r="D213" i="2"/>
  <c r="E186" i="2"/>
  <c r="E185" i="2"/>
  <c r="E187" i="2"/>
  <c r="G204" i="2"/>
  <c r="G207" i="2" s="1"/>
  <c r="H187" i="2"/>
  <c r="G184" i="2"/>
  <c r="G187" i="2" s="1"/>
  <c r="F208" i="2"/>
  <c r="F210" i="2" s="1"/>
  <c r="C190" i="2"/>
  <c r="D190" i="2"/>
  <c r="E176" i="2"/>
  <c r="D176" i="2"/>
  <c r="D177" i="2" s="1"/>
  <c r="C176" i="2"/>
  <c r="D183" i="2"/>
  <c r="D182" i="2"/>
  <c r="E208" i="2"/>
  <c r="D194" i="2"/>
  <c r="D195" i="2" s="1"/>
  <c r="C194" i="2"/>
  <c r="C181" i="2"/>
  <c r="C182" i="2"/>
  <c r="F218" i="2"/>
  <c r="H206" i="2"/>
  <c r="F195" i="2"/>
  <c r="F197" i="2"/>
  <c r="F196" i="2"/>
  <c r="E193" i="2"/>
  <c r="F204" i="2"/>
  <c r="F206" i="2" s="1"/>
  <c r="G222" i="2"/>
  <c r="G225" i="2" s="1"/>
  <c r="F222" i="2"/>
  <c r="F225" i="2" s="1"/>
  <c r="F191" i="2"/>
  <c r="G227" i="2"/>
  <c r="G218" i="2"/>
  <c r="G219" i="2"/>
  <c r="G208" i="2"/>
  <c r="G209" i="2" s="1"/>
  <c r="D208" i="2"/>
  <c r="D211" i="2" s="1"/>
  <c r="C178" i="2"/>
  <c r="C179" i="2"/>
  <c r="C177" i="2"/>
  <c r="E177" i="2"/>
  <c r="C192" i="2"/>
  <c r="D196" i="2"/>
  <c r="D179" i="2"/>
  <c r="D178" i="2"/>
  <c r="F221" i="2"/>
  <c r="F219" i="2"/>
  <c r="F220" i="2"/>
  <c r="G206" i="2"/>
  <c r="F211" i="2"/>
  <c r="F223" i="2"/>
  <c r="G224" i="2"/>
  <c r="F207" i="2"/>
  <c r="E209" i="2"/>
  <c r="E210" i="2"/>
  <c r="E211" i="2"/>
  <c r="C222" i="2"/>
  <c r="C224" i="2" s="1"/>
  <c r="D222" i="2"/>
  <c r="E222" i="2"/>
  <c r="E225" i="2" s="1"/>
  <c r="D204" i="2"/>
  <c r="E204" i="2"/>
  <c r="D218" i="2"/>
  <c r="D221" i="2" s="1"/>
  <c r="C218" i="2"/>
  <c r="C221" i="2" s="1"/>
  <c r="E218" i="2"/>
  <c r="E221" i="2" s="1"/>
  <c r="C208" i="2"/>
  <c r="C210" i="2" s="1"/>
  <c r="D209" i="2"/>
  <c r="C209" i="2"/>
  <c r="E205" i="2"/>
  <c r="E207" i="2"/>
  <c r="E206" i="2"/>
  <c r="D224" i="2"/>
  <c r="D223" i="2"/>
  <c r="E219" i="2"/>
  <c r="E223" i="2"/>
  <c r="C223" i="2"/>
  <c r="C205" i="2"/>
  <c r="H236" i="2"/>
  <c r="I175" i="5"/>
  <c r="H240" i="2"/>
  <c r="G191" i="5" l="1"/>
  <c r="H28" i="5"/>
  <c r="M17" i="5"/>
  <c r="H33" i="5"/>
  <c r="M22" i="5"/>
  <c r="H69" i="5"/>
  <c r="M69" i="5" s="1"/>
  <c r="L213" i="2"/>
  <c r="B213" i="2" s="1"/>
  <c r="L199" i="2"/>
  <c r="B199" i="2" s="1"/>
  <c r="L227" i="2"/>
  <c r="B227" i="2" s="1"/>
  <c r="G205" i="2"/>
  <c r="G210" i="2"/>
  <c r="O46" i="2"/>
  <c r="E141" i="2"/>
  <c r="O141" i="2" s="1"/>
  <c r="E93" i="2"/>
  <c r="O93" i="2" s="1"/>
  <c r="E197" i="2"/>
  <c r="H223" i="2"/>
  <c r="D228" i="2"/>
  <c r="D229" i="2"/>
  <c r="M71" i="2"/>
  <c r="M114" i="5"/>
  <c r="D168" i="5" s="1"/>
  <c r="C168" i="5" s="1"/>
  <c r="C181" i="5" s="1"/>
  <c r="J28" i="5"/>
  <c r="O17" i="5"/>
  <c r="E141" i="5"/>
  <c r="O141" i="5" s="1"/>
  <c r="E93" i="5"/>
  <c r="O93" i="5" s="1"/>
  <c r="O46" i="5"/>
  <c r="B179" i="2"/>
  <c r="L207" i="2"/>
  <c r="B207" i="2" s="1"/>
  <c r="L193" i="2"/>
  <c r="L221" i="2"/>
  <c r="B221" i="2" s="1"/>
  <c r="E117" i="2"/>
  <c r="O117" i="2" s="1"/>
  <c r="E69" i="2"/>
  <c r="O69" i="2" s="1"/>
  <c r="E224" i="2"/>
  <c r="C219" i="2"/>
  <c r="D207" i="2"/>
  <c r="D206" i="2"/>
  <c r="F192" i="2"/>
  <c r="E201" i="2"/>
  <c r="H191" i="2"/>
  <c r="H225" i="2"/>
  <c r="I92" i="5"/>
  <c r="N92" i="5" s="1"/>
  <c r="G195" i="2"/>
  <c r="M197" i="2"/>
  <c r="C197" i="2" s="1"/>
  <c r="M211" i="2"/>
  <c r="C211" i="2" s="1"/>
  <c r="M225" i="2"/>
  <c r="C225" i="2" s="1"/>
  <c r="N19" i="5"/>
  <c r="G154" i="5" s="1"/>
  <c r="M66" i="5"/>
  <c r="D161" i="5" s="1"/>
  <c r="M96" i="5"/>
  <c r="C228" i="2"/>
  <c r="O228" i="2"/>
  <c r="E228" i="2" s="1"/>
  <c r="O200" i="2"/>
  <c r="O214" i="2"/>
  <c r="E214" i="2" s="1"/>
  <c r="D108" i="5"/>
  <c r="N108" i="5" s="1"/>
  <c r="N114" i="5" s="1"/>
  <c r="G168" i="5" s="1"/>
  <c r="G181" i="5" s="1"/>
  <c r="E13" i="5"/>
  <c r="D74" i="5"/>
  <c r="N74" i="5" s="1"/>
  <c r="D122" i="5"/>
  <c r="N122" i="5" s="1"/>
  <c r="E27" i="5"/>
  <c r="N28" i="2"/>
  <c r="I39" i="2"/>
  <c r="N35" i="2"/>
  <c r="I46" i="5"/>
  <c r="N35" i="5"/>
  <c r="O16" i="5"/>
  <c r="E63" i="5"/>
  <c r="O63" i="5" s="1"/>
  <c r="E111" i="5"/>
  <c r="O111" i="5" s="1"/>
  <c r="L201" i="2"/>
  <c r="B201" i="2" s="1"/>
  <c r="L229" i="2"/>
  <c r="B229" i="2" s="1"/>
  <c r="L215" i="2"/>
  <c r="B215" i="2" s="1"/>
  <c r="M25" i="2"/>
  <c r="H36" i="5"/>
  <c r="M25" i="5"/>
  <c r="I51" i="5"/>
  <c r="N40" i="2"/>
  <c r="N40" i="5"/>
  <c r="H95" i="5"/>
  <c r="M95" i="5" s="1"/>
  <c r="M84" i="5"/>
  <c r="H82" i="5"/>
  <c r="H93" i="5" s="1"/>
  <c r="M93" i="5" s="1"/>
  <c r="M71" i="5"/>
  <c r="O28" i="2"/>
  <c r="E75" i="2"/>
  <c r="O75" i="2" s="1"/>
  <c r="E123" i="2"/>
  <c r="O123" i="2" s="1"/>
  <c r="E82" i="2"/>
  <c r="O82" i="2" s="1"/>
  <c r="O39" i="2"/>
  <c r="E86" i="2"/>
  <c r="O86" i="2" s="1"/>
  <c r="E49" i="2"/>
  <c r="D96" i="2"/>
  <c r="N96" i="2" s="1"/>
  <c r="D144" i="2"/>
  <c r="N144" i="2" s="1"/>
  <c r="E178" i="2"/>
  <c r="E179" i="2"/>
  <c r="H201" i="2"/>
  <c r="I91" i="5"/>
  <c r="N91" i="5" s="1"/>
  <c r="N80" i="5"/>
  <c r="B219" i="2"/>
  <c r="E134" i="2"/>
  <c r="O134" i="2" s="1"/>
  <c r="O136" i="2" s="1"/>
  <c r="E118" i="5"/>
  <c r="O118" i="5" s="1"/>
  <c r="E70" i="5"/>
  <c r="O70" i="5" s="1"/>
  <c r="M82" i="5"/>
  <c r="E80" i="5"/>
  <c r="O80" i="5" s="1"/>
  <c r="O88" i="5" s="1"/>
  <c r="I163" i="5" s="1"/>
  <c r="E128" i="5"/>
  <c r="O128" i="5" s="1"/>
  <c r="E107" i="2"/>
  <c r="O107" i="2" s="1"/>
  <c r="O12" i="2"/>
  <c r="E16" i="2"/>
  <c r="D111" i="2"/>
  <c r="N111" i="2" s="1"/>
  <c r="N26" i="2"/>
  <c r="D73" i="2"/>
  <c r="N73" i="2" s="1"/>
  <c r="E26" i="2"/>
  <c r="D121" i="2"/>
  <c r="N121" i="2" s="1"/>
  <c r="N125" i="2" s="1"/>
  <c r="G211" i="2"/>
  <c r="D193" i="2"/>
  <c r="D191" i="2"/>
  <c r="C200" i="2"/>
  <c r="G198" i="2"/>
  <c r="G200" i="2" s="1"/>
  <c r="C227" i="2"/>
  <c r="H211" i="2"/>
  <c r="H209" i="2"/>
  <c r="N70" i="5"/>
  <c r="N77" i="5" s="1"/>
  <c r="G162" i="5" s="1"/>
  <c r="H34" i="5"/>
  <c r="C213" i="2"/>
  <c r="E59" i="2"/>
  <c r="O59" i="2" s="1"/>
  <c r="O61" i="5"/>
  <c r="E59" i="5"/>
  <c r="O59" i="5" s="1"/>
  <c r="E107" i="5"/>
  <c r="O107" i="5" s="1"/>
  <c r="E124" i="5"/>
  <c r="O124" i="5" s="1"/>
  <c r="E76" i="5"/>
  <c r="O76" i="5" s="1"/>
  <c r="E134" i="5"/>
  <c r="O134" i="5" s="1"/>
  <c r="E86" i="5"/>
  <c r="O86" i="5" s="1"/>
  <c r="M145" i="5"/>
  <c r="M147" i="5" s="1"/>
  <c r="D171" i="5" s="1"/>
  <c r="C220" i="2"/>
  <c r="O22" i="2"/>
  <c r="I96" i="5"/>
  <c r="N96" i="5" s="1"/>
  <c r="N85" i="5"/>
  <c r="I82" i="5"/>
  <c r="N71" i="5"/>
  <c r="E120" i="5"/>
  <c r="O120" i="5" s="1"/>
  <c r="E72" i="5"/>
  <c r="O72" i="5" s="1"/>
  <c r="O117" i="5"/>
  <c r="C185" i="2"/>
  <c r="C183" i="2"/>
  <c r="G215" i="2"/>
  <c r="O25" i="5"/>
  <c r="Q200" i="2"/>
  <c r="B178" i="2"/>
  <c r="M96" i="2"/>
  <c r="M18" i="5"/>
  <c r="N76" i="2"/>
  <c r="E76" i="2"/>
  <c r="O76" i="2" s="1"/>
  <c r="N87" i="2"/>
  <c r="E135" i="2"/>
  <c r="O135" i="2" s="1"/>
  <c r="E97" i="2"/>
  <c r="O97" i="2" s="1"/>
  <c r="N98" i="2"/>
  <c r="M98" i="2"/>
  <c r="M93" i="2"/>
  <c r="E145" i="2"/>
  <c r="O145" i="2" s="1"/>
  <c r="M84" i="2"/>
  <c r="O14" i="5"/>
  <c r="N63" i="5"/>
  <c r="N66" i="5" s="1"/>
  <c r="G161" i="5" s="1"/>
  <c r="B184" i="5"/>
  <c r="B162" i="5"/>
  <c r="O48" i="5"/>
  <c r="O52" i="5" s="1"/>
  <c r="I157" i="5" s="1"/>
  <c r="I194" i="5" s="1"/>
  <c r="E96" i="5"/>
  <c r="O96" i="5" s="1"/>
  <c r="O49" i="5"/>
  <c r="E145" i="5"/>
  <c r="O145" i="5" s="1"/>
  <c r="E97" i="5"/>
  <c r="O97" i="5" s="1"/>
  <c r="L182" i="2"/>
  <c r="L242" i="2"/>
  <c r="L186" i="2" s="1"/>
  <c r="E26" i="5"/>
  <c r="D121" i="5"/>
  <c r="N121" i="5" s="1"/>
  <c r="N125" i="5" s="1"/>
  <c r="G169" i="5" s="1"/>
  <c r="G186" i="5" s="1"/>
  <c r="H44" i="2"/>
  <c r="H80" i="2"/>
  <c r="M80" i="2" s="1"/>
  <c r="B182" i="2"/>
  <c r="N74" i="2"/>
  <c r="N85" i="2"/>
  <c r="M95" i="2"/>
  <c r="M82" i="2"/>
  <c r="E65" i="5"/>
  <c r="O65" i="5" s="1"/>
  <c r="E113" i="5"/>
  <c r="O113" i="5" s="1"/>
  <c r="O91" i="5"/>
  <c r="O99" i="5" s="1"/>
  <c r="I164" i="5" s="1"/>
  <c r="I195" i="5" s="1"/>
  <c r="O139" i="5"/>
  <c r="M39" i="2"/>
  <c r="H50" i="2"/>
  <c r="M50" i="2" s="1"/>
  <c r="I38" i="5"/>
  <c r="N27" i="2"/>
  <c r="I47" i="5"/>
  <c r="N36" i="2"/>
  <c r="E13" i="2"/>
  <c r="O13" i="2" s="1"/>
  <c r="N13" i="2"/>
  <c r="O17" i="2"/>
  <c r="D225" i="2"/>
  <c r="D185" i="2"/>
  <c r="F215" i="2"/>
  <c r="O40" i="5"/>
  <c r="Q214" i="2"/>
  <c r="G214" i="2" s="1"/>
  <c r="Q196" i="2"/>
  <c r="G196" i="2" s="1"/>
  <c r="B191" i="2"/>
  <c r="B186" i="2"/>
  <c r="E87" i="2"/>
  <c r="O87" i="2" s="1"/>
  <c r="O88" i="2" s="1"/>
  <c r="N65" i="2"/>
  <c r="N29" i="5"/>
  <c r="N30" i="5" s="1"/>
  <c r="G155" i="5" s="1"/>
  <c r="E64" i="2"/>
  <c r="O64" i="2" s="1"/>
  <c r="N123" i="2"/>
  <c r="E70" i="2"/>
  <c r="O70" i="2" s="1"/>
  <c r="N84" i="2"/>
  <c r="N95" i="2"/>
  <c r="D108" i="2"/>
  <c r="N108" i="2" s="1"/>
  <c r="M11" i="5"/>
  <c r="M121" i="5"/>
  <c r="M125" i="5" s="1"/>
  <c r="D169" i="5" s="1"/>
  <c r="O119" i="5"/>
  <c r="J35" i="2"/>
  <c r="O35" i="2" s="1"/>
  <c r="O41" i="2" s="1"/>
  <c r="O24" i="2"/>
  <c r="M24" i="2"/>
  <c r="H35" i="5"/>
  <c r="I23" i="2"/>
  <c r="N12" i="2"/>
  <c r="M133" i="5"/>
  <c r="M136" i="5" s="1"/>
  <c r="D170" i="5" s="1"/>
  <c r="N145" i="5"/>
  <c r="N147" i="5" s="1"/>
  <c r="G171" i="5" s="1"/>
  <c r="O25" i="2"/>
  <c r="M15" i="2"/>
  <c r="H26" i="5"/>
  <c r="H16" i="5"/>
  <c r="H12" i="2"/>
  <c r="M29" i="2"/>
  <c r="H40" i="5"/>
  <c r="N19" i="2"/>
  <c r="I190" i="5"/>
  <c r="G196" i="5"/>
  <c r="D181" i="5"/>
  <c r="E168" i="5"/>
  <c r="E181" i="5" s="1"/>
  <c r="E144" i="2"/>
  <c r="O144" i="2" s="1"/>
  <c r="O49" i="2"/>
  <c r="E96" i="2"/>
  <c r="O96" i="2" s="1"/>
  <c r="O99" i="2" s="1"/>
  <c r="O147" i="2"/>
  <c r="H226" i="2" s="1"/>
  <c r="N147" i="2"/>
  <c r="F226" i="2" s="1"/>
  <c r="M147" i="2"/>
  <c r="O52" i="2"/>
  <c r="N136" i="2"/>
  <c r="M136" i="2"/>
  <c r="O27" i="2"/>
  <c r="E74" i="2"/>
  <c r="O74" i="2" s="1"/>
  <c r="E122" i="2"/>
  <c r="O122" i="2" s="1"/>
  <c r="M125" i="2"/>
  <c r="N77" i="2"/>
  <c r="O11" i="2"/>
  <c r="E58" i="2"/>
  <c r="O58" i="2" s="1"/>
  <c r="E106" i="2"/>
  <c r="O106" i="2" s="1"/>
  <c r="E60" i="2"/>
  <c r="O60" i="2" s="1"/>
  <c r="E108" i="2"/>
  <c r="O108" i="2" s="1"/>
  <c r="O15" i="2"/>
  <c r="E62" i="2"/>
  <c r="O62" i="2" s="1"/>
  <c r="E110" i="2"/>
  <c r="O110" i="2" s="1"/>
  <c r="O18" i="2"/>
  <c r="E65" i="2"/>
  <c r="O65" i="2" s="1"/>
  <c r="E113" i="2"/>
  <c r="O113" i="2" s="1"/>
  <c r="M66" i="2"/>
  <c r="N114" i="2"/>
  <c r="M114" i="2"/>
  <c r="O16" i="2"/>
  <c r="E63" i="2"/>
  <c r="O63" i="2" s="1"/>
  <c r="E111" i="2"/>
  <c r="O111" i="2" s="1"/>
  <c r="N66" i="2"/>
  <c r="C206" i="2"/>
  <c r="D205" i="2"/>
  <c r="E220" i="2"/>
  <c r="F205" i="2"/>
  <c r="F224" i="2"/>
  <c r="F209" i="2"/>
  <c r="D192" i="2"/>
  <c r="D197" i="2"/>
  <c r="G186" i="2"/>
  <c r="G228" i="2"/>
  <c r="G185" i="2"/>
  <c r="G190" i="2"/>
  <c r="E195" i="2"/>
  <c r="H186" i="2"/>
  <c r="E200" i="2"/>
  <c r="G180" i="2"/>
  <c r="F199" i="2"/>
  <c r="F185" i="2"/>
  <c r="H193" i="2"/>
  <c r="C186" i="2"/>
  <c r="H200" i="2"/>
  <c r="H215" i="2"/>
  <c r="H213" i="2"/>
  <c r="G176" i="2"/>
  <c r="B192" i="2"/>
  <c r="B181" i="2"/>
  <c r="B193" i="2"/>
  <c r="B185" i="2"/>
  <c r="H174" i="5"/>
  <c r="E153" i="5"/>
  <c r="E174" i="5" s="1"/>
  <c r="G180" i="5" l="1"/>
  <c r="H162" i="5"/>
  <c r="G185" i="5"/>
  <c r="E171" i="5"/>
  <c r="E196" i="5" s="1"/>
  <c r="C171" i="5"/>
  <c r="C196" i="5" s="1"/>
  <c r="D196" i="5"/>
  <c r="E161" i="5"/>
  <c r="E180" i="5" s="1"/>
  <c r="M19" i="5"/>
  <c r="D154" i="5" s="1"/>
  <c r="E170" i="5"/>
  <c r="E191" i="5" s="1"/>
  <c r="D191" i="5"/>
  <c r="C191" i="5" s="1"/>
  <c r="C170" i="5"/>
  <c r="D186" i="5"/>
  <c r="E169" i="5"/>
  <c r="E186" i="5" s="1"/>
  <c r="G184" i="5"/>
  <c r="N41" i="5"/>
  <c r="G156" i="5" s="1"/>
  <c r="H27" i="5"/>
  <c r="M16" i="2"/>
  <c r="M16" i="5"/>
  <c r="M35" i="2"/>
  <c r="H46" i="5"/>
  <c r="M35" i="5"/>
  <c r="E121" i="5"/>
  <c r="O121" i="5" s="1"/>
  <c r="E73" i="5"/>
  <c r="O73" i="5" s="1"/>
  <c r="O26" i="5"/>
  <c r="O30" i="5" s="1"/>
  <c r="I155" i="5" s="1"/>
  <c r="B169" i="5"/>
  <c r="B185" i="5"/>
  <c r="M33" i="5"/>
  <c r="H44" i="5"/>
  <c r="H80" i="5"/>
  <c r="M80" i="5" s="1"/>
  <c r="M88" i="5" s="1"/>
  <c r="D163" i="5" s="1"/>
  <c r="D180" i="5"/>
  <c r="H51" i="5"/>
  <c r="M40" i="2"/>
  <c r="M40" i="5"/>
  <c r="H37" i="5"/>
  <c r="M26" i="2"/>
  <c r="M26" i="5"/>
  <c r="N47" i="2"/>
  <c r="N47" i="5"/>
  <c r="M44" i="2"/>
  <c r="H91" i="2"/>
  <c r="M91" i="2" s="1"/>
  <c r="L200" i="2"/>
  <c r="B200" i="2" s="1"/>
  <c r="L214" i="2"/>
  <c r="B214" i="2" s="1"/>
  <c r="L228" i="2"/>
  <c r="B228" i="2" s="1"/>
  <c r="N46" i="2"/>
  <c r="N46" i="5"/>
  <c r="O13" i="5"/>
  <c r="O19" i="5" s="1"/>
  <c r="I154" i="5" s="1"/>
  <c r="I179" i="5" s="1"/>
  <c r="H179" i="5" s="1"/>
  <c r="E60" i="5"/>
  <c r="O60" i="5" s="1"/>
  <c r="O66" i="5" s="1"/>
  <c r="I161" i="5" s="1"/>
  <c r="E108" i="5"/>
  <c r="O108" i="5" s="1"/>
  <c r="G179" i="5"/>
  <c r="G199" i="2"/>
  <c r="C161" i="5"/>
  <c r="C180" i="5" s="1"/>
  <c r="L196" i="2"/>
  <c r="B196" i="2" s="1"/>
  <c r="L210" i="2"/>
  <c r="B210" i="2" s="1"/>
  <c r="L224" i="2"/>
  <c r="B224" i="2" s="1"/>
  <c r="G201" i="2"/>
  <c r="O26" i="2"/>
  <c r="O30" i="2" s="1"/>
  <c r="E73" i="2"/>
  <c r="O73" i="2" s="1"/>
  <c r="E121" i="2"/>
  <c r="O121" i="2" s="1"/>
  <c r="O125" i="2" s="1"/>
  <c r="O77" i="5"/>
  <c r="I162" i="5" s="1"/>
  <c r="I185" i="5" s="1"/>
  <c r="H47" i="5"/>
  <c r="M36" i="2"/>
  <c r="M36" i="5"/>
  <c r="E122" i="5"/>
  <c r="O122" i="5" s="1"/>
  <c r="O125" i="5" s="1"/>
  <c r="I169" i="5" s="1"/>
  <c r="E74" i="5"/>
  <c r="O74" i="5" s="1"/>
  <c r="O27" i="5"/>
  <c r="J39" i="5"/>
  <c r="O39" i="5" s="1"/>
  <c r="O41" i="5" s="1"/>
  <c r="I156" i="5" s="1"/>
  <c r="I189" i="5" s="1"/>
  <c r="O28" i="5"/>
  <c r="M77" i="5"/>
  <c r="D162" i="5" s="1"/>
  <c r="H39" i="5"/>
  <c r="M28" i="5"/>
  <c r="O77" i="2"/>
  <c r="N51" i="2"/>
  <c r="N51" i="5"/>
  <c r="H23" i="2"/>
  <c r="M12" i="2"/>
  <c r="M19" i="2" s="1"/>
  <c r="I34" i="2"/>
  <c r="N23" i="2"/>
  <c r="N30" i="2" s="1"/>
  <c r="N38" i="2"/>
  <c r="I49" i="5"/>
  <c r="N38" i="5"/>
  <c r="O147" i="5"/>
  <c r="I171" i="5" s="1"/>
  <c r="I196" i="5" s="1"/>
  <c r="I93" i="5"/>
  <c r="N82" i="5"/>
  <c r="N88" i="5" s="1"/>
  <c r="G163" i="5" s="1"/>
  <c r="O114" i="5"/>
  <c r="I168" i="5" s="1"/>
  <c r="N82" i="2"/>
  <c r="N88" i="2" s="1"/>
  <c r="H81" i="5"/>
  <c r="M81" i="5" s="1"/>
  <c r="H45" i="5"/>
  <c r="M34" i="5"/>
  <c r="O136" i="5"/>
  <c r="I170" i="5" s="1"/>
  <c r="N39" i="2"/>
  <c r="I50" i="2"/>
  <c r="N50" i="2" s="1"/>
  <c r="F227" i="2"/>
  <c r="F229" i="2"/>
  <c r="F228" i="2"/>
  <c r="H227" i="2"/>
  <c r="H228" i="2"/>
  <c r="H229" i="2"/>
  <c r="O114" i="2"/>
  <c r="O19" i="2"/>
  <c r="O66" i="2"/>
  <c r="G181" i="2"/>
  <c r="G183" i="2"/>
  <c r="G182" i="2"/>
  <c r="G179" i="2"/>
  <c r="G178" i="2"/>
  <c r="G177" i="2"/>
  <c r="G191" i="2"/>
  <c r="G193" i="2"/>
  <c r="G192" i="2"/>
  <c r="F240" i="2"/>
  <c r="G167" i="5"/>
  <c r="G176" i="5" s="1"/>
  <c r="H176" i="5" s="1"/>
  <c r="G160" i="5"/>
  <c r="G175" i="5" s="1"/>
  <c r="H175" i="5" s="1"/>
  <c r="F236" i="2"/>
  <c r="D232" i="2"/>
  <c r="D153" i="5"/>
  <c r="D174" i="5" s="1"/>
  <c r="D240" i="2"/>
  <c r="D167" i="5"/>
  <c r="D176" i="5" s="1"/>
  <c r="G190" i="5" l="1"/>
  <c r="H163" i="5"/>
  <c r="H190" i="5" s="1"/>
  <c r="I180" i="5"/>
  <c r="H161" i="5"/>
  <c r="I184" i="5"/>
  <c r="H155" i="5"/>
  <c r="I186" i="5"/>
  <c r="H186" i="5" s="1"/>
  <c r="H169" i="5"/>
  <c r="M45" i="5"/>
  <c r="H92" i="5"/>
  <c r="M92" i="5" s="1"/>
  <c r="E163" i="5"/>
  <c r="E190" i="5" s="1"/>
  <c r="C163" i="5"/>
  <c r="D190" i="5"/>
  <c r="C190" i="5" s="1"/>
  <c r="C154" i="5"/>
  <c r="C179" i="5" s="1"/>
  <c r="D179" i="5"/>
  <c r="E154" i="5"/>
  <c r="E179" i="5" s="1"/>
  <c r="N93" i="5"/>
  <c r="N99" i="5" s="1"/>
  <c r="G164" i="5" s="1"/>
  <c r="N93" i="2"/>
  <c r="N99" i="2" s="1"/>
  <c r="I191" i="5"/>
  <c r="H170" i="5"/>
  <c r="H191" i="5" s="1"/>
  <c r="H171" i="5"/>
  <c r="H196" i="5" s="1"/>
  <c r="N49" i="5"/>
  <c r="N52" i="5" s="1"/>
  <c r="G157" i="5" s="1"/>
  <c r="N49" i="2"/>
  <c r="B186" i="5"/>
  <c r="C169" i="5"/>
  <c r="C186" i="5" s="1"/>
  <c r="H34" i="2"/>
  <c r="H70" i="2"/>
  <c r="M70" i="2" s="1"/>
  <c r="M77" i="2" s="1"/>
  <c r="M23" i="2"/>
  <c r="M51" i="2"/>
  <c r="M51" i="5"/>
  <c r="M44" i="5"/>
  <c r="H91" i="5"/>
  <c r="M91" i="5" s="1"/>
  <c r="M46" i="2"/>
  <c r="M46" i="5"/>
  <c r="M27" i="2"/>
  <c r="H38" i="5"/>
  <c r="M27" i="5"/>
  <c r="M30" i="5" s="1"/>
  <c r="D155" i="5" s="1"/>
  <c r="M39" i="5"/>
  <c r="H50" i="5"/>
  <c r="M50" i="5" s="1"/>
  <c r="H154" i="5"/>
  <c r="H48" i="5"/>
  <c r="M37" i="2"/>
  <c r="M37" i="5"/>
  <c r="H156" i="5"/>
  <c r="H189" i="5" s="1"/>
  <c r="G189" i="5"/>
  <c r="I181" i="5"/>
  <c r="H181" i="5" s="1"/>
  <c r="H168" i="5"/>
  <c r="N34" i="2"/>
  <c r="N41" i="2" s="1"/>
  <c r="I45" i="2"/>
  <c r="N45" i="2" s="1"/>
  <c r="N52" i="2" s="1"/>
  <c r="E162" i="5"/>
  <c r="E185" i="5" s="1"/>
  <c r="D185" i="5"/>
  <c r="M47" i="2"/>
  <c r="M47" i="5"/>
  <c r="C162" i="5"/>
  <c r="C185" i="5" s="1"/>
  <c r="H184" i="5"/>
  <c r="H185" i="5"/>
  <c r="H180" i="5"/>
  <c r="E240" i="2"/>
  <c r="E167" i="5"/>
  <c r="E176" i="5" s="1"/>
  <c r="C240" i="2"/>
  <c r="C167" i="5"/>
  <c r="C176" i="5" s="1"/>
  <c r="E236" i="2"/>
  <c r="E160" i="5"/>
  <c r="E175" i="5" s="1"/>
  <c r="C160" i="5"/>
  <c r="C175" i="5" s="1"/>
  <c r="C236" i="2"/>
  <c r="H160" i="5"/>
  <c r="G236" i="2"/>
  <c r="C232" i="2"/>
  <c r="C153" i="5"/>
  <c r="C174" i="5" s="1"/>
  <c r="G240" i="2"/>
  <c r="H167" i="5"/>
  <c r="H157" i="5" l="1"/>
  <c r="H194" i="5" s="1"/>
  <c r="G194" i="5"/>
  <c r="E155" i="5"/>
  <c r="E184" i="5" s="1"/>
  <c r="C155" i="5"/>
  <c r="C184" i="5" s="1"/>
  <c r="D184" i="5"/>
  <c r="M30" i="2"/>
  <c r="H164" i="5"/>
  <c r="H195" i="5" s="1"/>
  <c r="G195" i="5"/>
  <c r="M99" i="5"/>
  <c r="D164" i="5" s="1"/>
  <c r="M48" i="2"/>
  <c r="M48" i="5"/>
  <c r="H81" i="2"/>
  <c r="M81" i="2" s="1"/>
  <c r="M88" i="2" s="1"/>
  <c r="M34" i="2"/>
  <c r="M41" i="2" s="1"/>
  <c r="H45" i="2"/>
  <c r="M38" i="2"/>
  <c r="H49" i="5"/>
  <c r="M38" i="5"/>
  <c r="M41" i="5" s="1"/>
  <c r="D156" i="5" s="1"/>
  <c r="E156" i="5" l="1"/>
  <c r="E189" i="5" s="1"/>
  <c r="D189" i="5"/>
  <c r="C189" i="5" s="1"/>
  <c r="C156" i="5"/>
  <c r="M45" i="2"/>
  <c r="H92" i="2"/>
  <c r="M92" i="2" s="1"/>
  <c r="M99" i="2" s="1"/>
  <c r="M49" i="2"/>
  <c r="M49" i="5"/>
  <c r="M52" i="5" s="1"/>
  <c r="D157" i="5" s="1"/>
  <c r="C164" i="5"/>
  <c r="C195" i="5" s="1"/>
  <c r="E164" i="5"/>
  <c r="E195" i="5" s="1"/>
  <c r="D195" i="5"/>
  <c r="C157" i="5" l="1"/>
  <c r="C194" i="5" s="1"/>
  <c r="E157" i="5"/>
  <c r="E194" i="5" s="1"/>
  <c r="D194" i="5"/>
  <c r="M52" i="2"/>
</calcChain>
</file>

<file path=xl/comments1.xml><?xml version="1.0" encoding="utf-8"?>
<comments xmlns="http://schemas.openxmlformats.org/spreadsheetml/2006/main">
  <authors>
    <author>Mari Jüssi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Lipasto, Linnabuss kehäväylä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15 tonni maantieajo tonn-km kohta, Lipasto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tuletatud 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Soome kiskobussi, reisija-km kohta, 0,4 x väiksem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Soome kiskobussi, reisija-km kohta, 0,4 x väiksem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
Hinnanguliselt 5 kordne vahe 2013 ja vanade vedurite vahel, vastavalt Non road standards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Poole väiksem soome diiselrongidest, siis klapib eesti inventuuridega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50% väiksem EURO 5 normist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2030 on plaanitud ka gaasirongid, aga tegureid pole kuskilt võtta
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</commentList>
</comments>
</file>

<file path=xl/comments2.xml><?xml version="1.0" encoding="utf-8"?>
<comments xmlns="http://schemas.openxmlformats.org/spreadsheetml/2006/main">
  <authors>
    <author>Mari Jüssi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Lipasto, Linnabuss kehäväylä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15 tonni maantieajo tonn-km kohta, Lipasto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tuletatud 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Soome kiskobussi, reisija-km kohta, 0,4 x väiksem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Soome kiskobussi, reisija-km kohta, 0,4 x väiksem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
Hinnanguliselt 5 kordne vahe 2013 ja vanade vedurite vahel, vastavalt Non road standards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Poole väiksem soome diiselrongidest, siis klapib eesti inventuuridega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50% väiksem EURO 5 normist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2030 on plaanitud ka gaasirongid, aga tegureid pole kuskilt võtta
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Jah, bensiini omal väheneb oluliselt rohkem, diislil vähem
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eeldame ca 50% väiksemat kui EUR5
</t>
        </r>
      </text>
    </comment>
  </commentList>
</comments>
</file>

<file path=xl/comments3.xml><?xml version="1.0" encoding="utf-8"?>
<comments xmlns="http://schemas.openxmlformats.org/spreadsheetml/2006/main">
  <authors>
    <author>Mari Jüssi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30% kasvu võrreldes praegusega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Jalgrattakasutuse kahekordistumine võrreldes praegusega
</t>
        </r>
      </text>
    </comment>
  </commentList>
</comments>
</file>

<file path=xl/sharedStrings.xml><?xml version="1.0" encoding="utf-8"?>
<sst xmlns="http://schemas.openxmlformats.org/spreadsheetml/2006/main" count="609" uniqueCount="103">
  <si>
    <t>Air transport</t>
  </si>
  <si>
    <t>Ship*</t>
  </si>
  <si>
    <t>Train*</t>
  </si>
  <si>
    <t>Trucks and cargo vans</t>
  </si>
  <si>
    <t>Muutus, %</t>
  </si>
  <si>
    <t>mio.tonnes km</t>
  </si>
  <si>
    <t>Goods</t>
  </si>
  <si>
    <t>VS_2050</t>
  </si>
  <si>
    <t>EE50</t>
  </si>
  <si>
    <t>BAU50</t>
  </si>
  <si>
    <t>Base</t>
  </si>
  <si>
    <t>mill. Vehicle km</t>
  </si>
  <si>
    <t>mill. tkm</t>
  </si>
  <si>
    <t>Bike etc.</t>
  </si>
  <si>
    <t>Aviation and ferries</t>
  </si>
  <si>
    <t>Train</t>
  </si>
  <si>
    <t>Bus</t>
  </si>
  <si>
    <t>Car</t>
  </si>
  <si>
    <t>VS2050</t>
  </si>
  <si>
    <t>VS 2050</t>
  </si>
  <si>
    <t>mill. pkm</t>
  </si>
  <si>
    <t>VS_TAK 2030</t>
  </si>
  <si>
    <t>EE30</t>
  </si>
  <si>
    <t>BAU30</t>
  </si>
  <si>
    <t>VS_TAK</t>
  </si>
  <si>
    <t>EE20</t>
  </si>
  <si>
    <t>BAU20</t>
  </si>
  <si>
    <t xml:space="preserve">Märkus: </t>
  </si>
  <si>
    <t>88.0</t>
  </si>
  <si>
    <t>602.1</t>
  </si>
  <si>
    <t>84.3</t>
  </si>
  <si>
    <t>574.0</t>
  </si>
  <si>
    <t>81.2</t>
  </si>
  <si>
    <t>552.7</t>
  </si>
  <si>
    <t>Veoautod</t>
  </si>
  <si>
    <t>Bussid</t>
  </si>
  <si>
    <t>Sõiduautod</t>
  </si>
  <si>
    <t xml:space="preserve"> </t>
  </si>
  <si>
    <t>TS32: SÕIDUKID, 31. DETSEMBER --- Aasta ning Näitaja</t>
  </si>
  <si>
    <t>Sõidukeid</t>
  </si>
  <si>
    <t>sõidukite keskmised</t>
  </si>
  <si>
    <t>TP_EE</t>
  </si>
  <si>
    <t>BAU</t>
  </si>
  <si>
    <t>NOX</t>
  </si>
  <si>
    <t>CO2</t>
  </si>
  <si>
    <t>Koond, tonni aastas</t>
  </si>
  <si>
    <t>Veoauto, gaas</t>
  </si>
  <si>
    <t>NOX heitkogus</t>
  </si>
  <si>
    <t>Osakaal läbisõidust</t>
  </si>
  <si>
    <t>VS TAK</t>
  </si>
  <si>
    <t>Kokku</t>
  </si>
  <si>
    <t>Kaubarong, diisel, g/tonn-km</t>
  </si>
  <si>
    <t>Reisirong, g/reisija-km</t>
  </si>
  <si>
    <r>
      <t xml:space="preserve">Veoauto </t>
    </r>
    <r>
      <rPr>
        <sz val="10"/>
        <color rgb="FFFF0000"/>
        <rFont val="Arial"/>
        <family val="2"/>
        <charset val="186"/>
      </rPr>
      <t>NB -Tonn-km kohta</t>
    </r>
  </si>
  <si>
    <t>Buss, gaas, etanool</t>
  </si>
  <si>
    <t>Buss, diisel, biodiisel</t>
  </si>
  <si>
    <t>Sõiduauto, diisel, biodiisel</t>
  </si>
  <si>
    <t>Sõiduauto, bensiin, gaas, etanool</t>
  </si>
  <si>
    <t>Kaubarong, g/tonn-km</t>
  </si>
  <si>
    <r>
      <t>Reisirong, diisel,</t>
    </r>
    <r>
      <rPr>
        <sz val="10"/>
        <color rgb="FFFF0000"/>
        <rFont val="Arial"/>
        <family val="2"/>
        <charset val="186"/>
      </rPr>
      <t xml:space="preserve"> reisija_km kohta</t>
    </r>
  </si>
  <si>
    <r>
      <t xml:space="preserve">Veoauto, diisel </t>
    </r>
    <r>
      <rPr>
        <sz val="10"/>
        <color rgb="FFFF0000"/>
        <rFont val="Arial"/>
        <family val="2"/>
        <charset val="186"/>
      </rPr>
      <t>NB -Tonn-km kohta</t>
    </r>
  </si>
  <si>
    <t>Buss, gaas</t>
  </si>
  <si>
    <t>Buss, diisel, biodiisel - sõiduki-km</t>
  </si>
  <si>
    <t>Sõiduauto, bensiin, gaas, etanool - sõiduki-km</t>
  </si>
  <si>
    <t xml:space="preserve">NOx </t>
  </si>
  <si>
    <t>NOX heitkogus, tonni aastas</t>
  </si>
  <si>
    <t>Ühikutegurid (grammides transpordiühiku kohta), http://lipasto.vtt.fi/yksikkopaastot/</t>
  </si>
  <si>
    <t>Ühikutegurid - 2020, kasutame samu tegureid, mis Soome 2011 keskmised, 2030 keskmine ei ületa praegu teada EURO 6 keskmist või siis proportsionaalselt tuletatud EURO 5 puhtam</t>
  </si>
  <si>
    <t>Energiatarbimise jagunemine kütuseliigiti ja tarbimiskohati</t>
  </si>
  <si>
    <t>COPERT</t>
  </si>
  <si>
    <t>%</t>
  </si>
  <si>
    <t>Bensiin (TJ)</t>
  </si>
  <si>
    <t>Diisel (TJ)</t>
  </si>
  <si>
    <t>I kl tee</t>
  </si>
  <si>
    <t>Asulaväline</t>
  </si>
  <si>
    <t>Linnatänavad</t>
  </si>
  <si>
    <t>Kõik kokku</t>
  </si>
  <si>
    <r>
      <t>Osakaal (%) -</t>
    </r>
    <r>
      <rPr>
        <b/>
        <i/>
        <sz val="12"/>
        <rFont val="MS Sans Serif"/>
        <family val="2"/>
        <charset val="186"/>
      </rPr>
      <t xml:space="preserve"> </t>
    </r>
    <r>
      <rPr>
        <i/>
        <sz val="12"/>
        <rFont val="MS Sans Serif"/>
        <family val="2"/>
        <charset val="186"/>
      </rPr>
      <t>ingl. k. driving share</t>
    </r>
  </si>
  <si>
    <t>linn</t>
  </si>
  <si>
    <t>maantee</t>
  </si>
  <si>
    <t>kiirtee</t>
  </si>
  <si>
    <t>Väikekaubikud</t>
  </si>
  <si>
    <t>Mootorrattad</t>
  </si>
  <si>
    <t>SO2</t>
  </si>
  <si>
    <t>SO2 heitkogus</t>
  </si>
  <si>
    <t>HC</t>
  </si>
  <si>
    <t>HC heitkogus</t>
  </si>
  <si>
    <t>2050 neljandik 2030. a vähem</t>
  </si>
  <si>
    <t>2011 raporteeritud aruanded: Eesti piiriülese õhusaaste kauglevi Genfi konventsioon (LRTAP) aruanded http://www.keskkonnainfo.ee/main/index.php/et/component/content/article/264?tmpl=component</t>
  </si>
  <si>
    <t>Allikad:</t>
  </si>
  <si>
    <t>Heitetegurid 2020, 2030 ja 2050 prognoosiks :   http://lipasto.vtt.fi/yksikkopaastot/</t>
  </si>
  <si>
    <t>sellest linn</t>
  </si>
  <si>
    <t>Võimalikud non-ETS sihid</t>
  </si>
  <si>
    <t>http://www.pbl.nl/sites/default/files/cms/publicaties/pbl-2013-non-ets-emission-targets-for-2030-1192.pdf</t>
  </si>
  <si>
    <t>CO2ekv</t>
  </si>
  <si>
    <t>Heitetegurid 2020, 2030 ja 2050 prognoosiks :   Copert mudel ja VTT LIPASTO http://lipasto.vtt.fi/yksikkopaastot/</t>
  </si>
  <si>
    <t xml:space="preserve">Ühikutegurid - 2020, kasutame samu tegureid, mis Soome 2011 keskmised, 2030 keskmine ei ületa praegu teada EURO 6 keskmist </t>
  </si>
  <si>
    <t>Heitkoguste jagunemine</t>
  </si>
  <si>
    <t xml:space="preserve"> linn</t>
  </si>
  <si>
    <t>SEI-Tallinna arvutused järgmiste allikate põhjal - 2011 raporteeritud aruanded: Eesti piiriülese õhusaaste kauglevi Genfi konventsioon (LRTAP) aruanded http://www.keskkonnainfo.ee/main/index.php/et/component/content/article/264?tmpl=component</t>
  </si>
  <si>
    <t>Heitetegurid 2020, 2030 ja 2050 prognoosiks :   Copert mudel ja VTT LIPASTO http://lipasto.vtt.fi/yksikkopaastot/; Soome maanteetranspordi 2030 heitkoguste prognoos (LIISA 2012, http://lipasto.vtt.fi/liisa/liisa2012raportti.pdf)</t>
  </si>
  <si>
    <t>PM2,5 heitkogus</t>
  </si>
  <si>
    <t>PM2,5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</si>
</sst>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 * #,##0.00_ ;_ * \-#,##0.00_ ;_ * &quot;-&quot;??_ ;_ @_ "/>
    <numFmt numFmtId="166" formatCode="_(* #,##0.00_);_(* \(#,##0.00\);_(* &quot;-&quot;??_);_(@_)"/>
    <numFmt numFmtId="167" formatCode="0.000"/>
    <numFmt numFmtId="168" formatCode="0.0000"/>
    <numFmt numFmtId="169" formatCode="0.00000"/>
    <numFmt numFmtId="170" formatCode="0.0%"/>
  </numFmts>
  <fonts count="2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  <charset val="186"/>
    </font>
    <font>
      <sz val="9"/>
      <color rgb="FF00000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MS Sans Serif"/>
      <family val="2"/>
      <charset val="186"/>
    </font>
    <font>
      <b/>
      <sz val="10"/>
      <name val="MS Sans Serif"/>
      <family val="2"/>
      <charset val="186"/>
    </font>
    <font>
      <b/>
      <i/>
      <sz val="12"/>
      <name val="MS Sans Serif"/>
      <family val="2"/>
      <charset val="186"/>
    </font>
    <font>
      <i/>
      <sz val="12"/>
      <name val="MS Sans Serif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4" fillId="3" borderId="0" applyNumberFormat="0" applyFont="0" applyBorder="0" applyAlignment="0" applyProtection="0"/>
    <xf numFmtId="165" fontId="8" fillId="6" borderId="0" applyNumberFormat="0" applyFon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7" borderId="0" applyNumberFormat="0" applyFont="0" applyBorder="0" applyAlignment="0" applyProtection="0">
      <alignment horizontal="center"/>
    </xf>
    <xf numFmtId="0" fontId="1" fillId="0" borderId="0"/>
    <xf numFmtId="0" fontId="4" fillId="0" borderId="0"/>
    <xf numFmtId="0" fontId="1" fillId="0" borderId="0" applyNumberFormat="0" applyFont="0" applyFill="0" applyBorder="0" applyProtection="0">
      <alignment vertical="center"/>
    </xf>
    <xf numFmtId="0" fontId="11" fillId="0" borderId="0"/>
    <xf numFmtId="0" fontId="4" fillId="8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166" fontId="4" fillId="4" borderId="0" applyNumberFormat="0" applyFont="0" applyBorder="0" applyAlignment="0" applyProtection="0"/>
    <xf numFmtId="166" fontId="4" fillId="9" borderId="0" applyNumberFormat="0" applyFont="0" applyBorder="0" applyAlignment="0" applyProtection="0"/>
    <xf numFmtId="166" fontId="4" fillId="4" borderId="0" applyNumberFormat="0" applyFon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5">
    <xf numFmtId="0" fontId="0" fillId="0" borderId="0" xfId="0"/>
    <xf numFmtId="164" fontId="4" fillId="3" borderId="1" xfId="1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1" xfId="0" applyNumberFormat="1" applyBorder="1"/>
    <xf numFmtId="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7" xfId="0" applyNumberFormat="1" applyBorder="1"/>
    <xf numFmtId="0" fontId="5" fillId="0" borderId="8" xfId="0" applyFont="1" applyBorder="1"/>
    <xf numFmtId="164" fontId="0" fillId="0" borderId="3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4" borderId="0" xfId="0" applyNumberFormat="1" applyFill="1"/>
    <xf numFmtId="164" fontId="5" fillId="0" borderId="0" xfId="0" applyNumberFormat="1" applyFont="1" applyBorder="1"/>
    <xf numFmtId="164" fontId="5" fillId="0" borderId="0" xfId="0" applyNumberFormat="1" applyFont="1"/>
    <xf numFmtId="0" fontId="5" fillId="0" borderId="5" xfId="0" applyFon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5" borderId="5" xfId="0" applyFill="1" applyBorder="1"/>
    <xf numFmtId="0" fontId="5" fillId="0" borderId="0" xfId="0" applyFont="1"/>
    <xf numFmtId="0" fontId="5" fillId="0" borderId="6" xfId="0" applyFont="1" applyBorder="1"/>
    <xf numFmtId="4" fontId="0" fillId="0" borderId="3" xfId="0" applyNumberFormat="1" applyBorder="1"/>
    <xf numFmtId="4" fontId="0" fillId="0" borderId="0" xfId="0" applyNumberFormat="1" applyBorder="1"/>
    <xf numFmtId="164" fontId="0" fillId="4" borderId="0" xfId="0" applyNumberFormat="1" applyFill="1" applyBorder="1"/>
    <xf numFmtId="0" fontId="0" fillId="4" borderId="0" xfId="0" applyFill="1" applyBorder="1"/>
    <xf numFmtId="1" fontId="0" fillId="0" borderId="1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0" fillId="0" borderId="1" xfId="0" applyBorder="1"/>
    <xf numFmtId="0" fontId="5" fillId="0" borderId="0" xfId="0" applyFont="1" applyBorder="1"/>
    <xf numFmtId="0" fontId="0" fillId="4" borderId="0" xfId="0" applyFill="1"/>
    <xf numFmtId="4" fontId="0" fillId="0" borderId="7" xfId="0" applyNumberFormat="1" applyBorder="1"/>
    <xf numFmtId="164" fontId="0" fillId="5" borderId="1" xfId="0" applyNumberFormat="1" applyFill="1" applyBorder="1"/>
    <xf numFmtId="164" fontId="0" fillId="5" borderId="0" xfId="0" applyNumberFormat="1" applyFill="1" applyBorder="1"/>
    <xf numFmtId="0" fontId="0" fillId="5" borderId="0" xfId="0" applyFill="1" applyBorder="1"/>
    <xf numFmtId="4" fontId="0" fillId="5" borderId="0" xfId="0" applyNumberFormat="1" applyFill="1" applyBorder="1"/>
    <xf numFmtId="0" fontId="5" fillId="0" borderId="1" xfId="0" applyFont="1" applyBorder="1"/>
    <xf numFmtId="0" fontId="0" fillId="4" borderId="7" xfId="0" applyFill="1" applyBorder="1"/>
    <xf numFmtId="0" fontId="5" fillId="0" borderId="7" xfId="0" applyFont="1" applyBorder="1"/>
    <xf numFmtId="0" fontId="0" fillId="0" borderId="8" xfId="0" applyBorder="1"/>
    <xf numFmtId="0" fontId="5" fillId="4" borderId="0" xfId="0" applyFont="1" applyFill="1"/>
    <xf numFmtId="2" fontId="0" fillId="0" borderId="0" xfId="0" applyNumberFormat="1"/>
    <xf numFmtId="164" fontId="0" fillId="0" borderId="5" xfId="0" applyNumberFormat="1" applyBorder="1"/>
    <xf numFmtId="164" fontId="0" fillId="5" borderId="5" xfId="0" applyNumberFormat="1" applyFill="1" applyBorder="1"/>
    <xf numFmtId="3" fontId="0" fillId="0" borderId="5" xfId="0" applyNumberFormat="1" applyBorder="1"/>
    <xf numFmtId="0" fontId="0" fillId="0" borderId="0" xfId="0" applyAlignment="1">
      <alignment wrapText="1"/>
    </xf>
    <xf numFmtId="0" fontId="0" fillId="3" borderId="0" xfId="0" applyFill="1"/>
    <xf numFmtId="1" fontId="0" fillId="3" borderId="0" xfId="0" applyNumberFormat="1" applyFill="1"/>
    <xf numFmtId="0" fontId="5" fillId="3" borderId="0" xfId="0" applyFont="1" applyFill="1"/>
    <xf numFmtId="3" fontId="0" fillId="3" borderId="0" xfId="0" applyNumberFormat="1" applyFill="1"/>
    <xf numFmtId="1" fontId="5" fillId="3" borderId="0" xfId="0" applyNumberFormat="1" applyFont="1" applyFill="1"/>
    <xf numFmtId="0" fontId="5" fillId="3" borderId="9" xfId="0" applyFont="1" applyFill="1" applyBorder="1"/>
    <xf numFmtId="1" fontId="5" fillId="3" borderId="10" xfId="0" applyNumberFormat="1" applyFont="1" applyFill="1" applyBorder="1"/>
    <xf numFmtId="0" fontId="5" fillId="3" borderId="11" xfId="0" applyFont="1" applyFill="1" applyBorder="1"/>
    <xf numFmtId="0" fontId="5" fillId="3" borderId="10" xfId="0" applyFont="1" applyFill="1" applyBorder="1"/>
    <xf numFmtId="0" fontId="5" fillId="3" borderId="12" xfId="0" applyFont="1" applyFill="1" applyBorder="1"/>
    <xf numFmtId="1" fontId="0" fillId="3" borderId="13" xfId="0" applyNumberFormat="1" applyFill="1" applyBorder="1"/>
    <xf numFmtId="0" fontId="0" fillId="3" borderId="13" xfId="0" applyFill="1" applyBorder="1"/>
    <xf numFmtId="0" fontId="0" fillId="3" borderId="0" xfId="0" applyFill="1" applyBorder="1"/>
    <xf numFmtId="9" fontId="0" fillId="3" borderId="13" xfId="0" applyNumberFormat="1" applyFill="1" applyBorder="1"/>
    <xf numFmtId="0" fontId="0" fillId="3" borderId="14" xfId="0" applyFill="1" applyBorder="1"/>
    <xf numFmtId="0" fontId="0" fillId="3" borderId="15" xfId="0" applyFill="1" applyBorder="1"/>
    <xf numFmtId="9" fontId="0" fillId="3" borderId="15" xfId="0" applyNumberFormat="1" applyFill="1" applyBorder="1"/>
    <xf numFmtId="0" fontId="0" fillId="3" borderId="16" xfId="0" applyFill="1" applyBorder="1"/>
    <xf numFmtId="164" fontId="0" fillId="3" borderId="15" xfId="0" applyNumberFormat="1" applyFill="1" applyBorder="1"/>
    <xf numFmtId="1" fontId="0" fillId="3" borderId="15" xfId="0" applyNumberFormat="1" applyFill="1" applyBorder="1"/>
    <xf numFmtId="1" fontId="0" fillId="3" borderId="17" xfId="0" applyNumberFormat="1" applyFill="1" applyBorder="1"/>
    <xf numFmtId="0" fontId="0" fillId="3" borderId="17" xfId="0" applyFill="1" applyBorder="1"/>
    <xf numFmtId="9" fontId="0" fillId="3" borderId="17" xfId="0" applyNumberFormat="1" applyFill="1" applyBorder="1"/>
    <xf numFmtId="0" fontId="0" fillId="3" borderId="18" xfId="0" applyFill="1" applyBorder="1"/>
    <xf numFmtId="0" fontId="0" fillId="3" borderId="20" xfId="0" applyFill="1" applyBorder="1"/>
    <xf numFmtId="9" fontId="0" fillId="3" borderId="13" xfId="22" applyFont="1" applyFill="1" applyBorder="1"/>
    <xf numFmtId="9" fontId="0" fillId="3" borderId="15" xfId="22" applyFont="1" applyFill="1" applyBorder="1"/>
    <xf numFmtId="9" fontId="0" fillId="3" borderId="17" xfId="22" applyFont="1" applyFill="1" applyBorder="1"/>
    <xf numFmtId="0" fontId="5" fillId="3" borderId="5" xfId="0" applyFont="1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/>
    <xf numFmtId="0" fontId="3" fillId="3" borderId="13" xfId="33" applyFont="1" applyFill="1" applyBorder="1" applyAlignment="1" applyProtection="1"/>
    <xf numFmtId="0" fontId="3" fillId="3" borderId="15" xfId="33" applyFont="1" applyFill="1" applyBorder="1" applyAlignment="1" applyProtection="1"/>
    <xf numFmtId="0" fontId="3" fillId="3" borderId="17" xfId="33" applyFont="1" applyFill="1" applyBorder="1" applyAlignment="1" applyProtection="1"/>
    <xf numFmtId="0" fontId="5" fillId="3" borderId="12" xfId="33" applyFont="1" applyFill="1" applyBorder="1" applyAlignment="1" applyProtection="1"/>
    <xf numFmtId="0" fontId="5" fillId="3" borderId="15" xfId="0" applyFont="1" applyFill="1" applyBorder="1"/>
    <xf numFmtId="0" fontId="5" fillId="3" borderId="0" xfId="0" applyFont="1" applyFill="1" applyBorder="1"/>
    <xf numFmtId="0" fontId="5" fillId="3" borderId="12" xfId="0" applyFont="1" applyFill="1" applyBorder="1" applyAlignment="1">
      <alignment horizontal="center"/>
    </xf>
    <xf numFmtId="164" fontId="14" fillId="3" borderId="0" xfId="0" applyNumberFormat="1" applyFont="1" applyFill="1" applyBorder="1"/>
    <xf numFmtId="1" fontId="14" fillId="3" borderId="0" xfId="0" applyNumberFormat="1" applyFont="1" applyFill="1" applyBorder="1"/>
    <xf numFmtId="0" fontId="5" fillId="10" borderId="9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8" fillId="0" borderId="0" xfId="0" applyFont="1"/>
    <xf numFmtId="0" fontId="13" fillId="0" borderId="0" xfId="0" applyFont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2" fontId="0" fillId="0" borderId="15" xfId="0" applyNumberFormat="1" applyBorder="1"/>
    <xf numFmtId="10" fontId="0" fillId="0" borderId="15" xfId="0" applyNumberFormat="1" applyBorder="1"/>
    <xf numFmtId="0" fontId="0" fillId="0" borderId="15" xfId="0" applyBorder="1"/>
    <xf numFmtId="0" fontId="17" fillId="10" borderId="15" xfId="0" applyFont="1" applyFill="1" applyBorder="1"/>
    <xf numFmtId="0" fontId="22" fillId="0" borderId="15" xfId="0" applyFont="1" applyBorder="1"/>
    <xf numFmtId="1" fontId="5" fillId="3" borderId="0" xfId="0" applyNumberFormat="1" applyFont="1" applyFill="1" applyBorder="1"/>
    <xf numFmtId="0" fontId="5" fillId="11" borderId="12" xfId="0" applyFont="1" applyFill="1" applyBorder="1"/>
    <xf numFmtId="0" fontId="5" fillId="11" borderId="10" xfId="0" applyFont="1" applyFill="1" applyBorder="1"/>
    <xf numFmtId="0" fontId="5" fillId="11" borderId="9" xfId="0" applyFont="1" applyFill="1" applyBorder="1"/>
    <xf numFmtId="0" fontId="0" fillId="11" borderId="0" xfId="0" applyFill="1"/>
    <xf numFmtId="0" fontId="0" fillId="11" borderId="20" xfId="0" applyFill="1" applyBorder="1"/>
    <xf numFmtId="0" fontId="0" fillId="11" borderId="21" xfId="0" applyFill="1" applyBorder="1"/>
    <xf numFmtId="0" fontId="0" fillId="11" borderId="0" xfId="0" applyFill="1" applyBorder="1"/>
    <xf numFmtId="0" fontId="5" fillId="11" borderId="0" xfId="0" applyFont="1" applyFill="1" applyBorder="1"/>
    <xf numFmtId="0" fontId="5" fillId="11" borderId="22" xfId="0" applyFont="1" applyFill="1" applyBorder="1"/>
    <xf numFmtId="1" fontId="0" fillId="3" borderId="23" xfId="0" applyNumberFormat="1" applyFill="1" applyBorder="1"/>
    <xf numFmtId="1" fontId="0" fillId="3" borderId="24" xfId="0" applyNumberFormat="1" applyFill="1" applyBorder="1"/>
    <xf numFmtId="1" fontId="0" fillId="3" borderId="25" xfId="0" applyNumberFormat="1" applyFill="1" applyBorder="1"/>
    <xf numFmtId="1" fontId="5" fillId="3" borderId="22" xfId="0" applyNumberFormat="1" applyFont="1" applyFill="1" applyBorder="1"/>
    <xf numFmtId="0" fontId="5" fillId="3" borderId="22" xfId="0" applyFont="1" applyFill="1" applyBorder="1"/>
    <xf numFmtId="164" fontId="0" fillId="3" borderId="24" xfId="0" applyNumberFormat="1" applyFill="1" applyBorder="1"/>
    <xf numFmtId="1" fontId="14" fillId="3" borderId="15" xfId="0" applyNumberFormat="1" applyFont="1" applyFill="1" applyBorder="1"/>
    <xf numFmtId="0" fontId="5" fillId="3" borderId="28" xfId="0" applyFont="1" applyFill="1" applyBorder="1" applyAlignment="1">
      <alignment horizontal="center"/>
    </xf>
    <xf numFmtId="0" fontId="5" fillId="11" borderId="28" xfId="0" applyFont="1" applyFill="1" applyBorder="1"/>
    <xf numFmtId="0" fontId="5" fillId="11" borderId="28" xfId="0" applyFont="1" applyFill="1" applyBorder="1" applyAlignment="1">
      <alignment horizontal="center"/>
    </xf>
    <xf numFmtId="0" fontId="5" fillId="11" borderId="27" xfId="0" applyFont="1" applyFill="1" applyBorder="1"/>
    <xf numFmtId="0" fontId="0" fillId="3" borderId="1" xfId="0" applyFill="1" applyBorder="1"/>
    <xf numFmtId="0" fontId="5" fillId="11" borderId="29" xfId="0" applyFont="1" applyFill="1" applyBorder="1"/>
    <xf numFmtId="9" fontId="14" fillId="3" borderId="1" xfId="0" applyNumberFormat="1" applyFont="1" applyFill="1" applyBorder="1"/>
    <xf numFmtId="0" fontId="5" fillId="3" borderId="29" xfId="0" applyFont="1" applyFill="1" applyBorder="1"/>
    <xf numFmtId="0" fontId="5" fillId="3" borderId="29" xfId="33" applyFont="1" applyFill="1" applyBorder="1" applyAlignment="1" applyProtection="1"/>
    <xf numFmtId="0" fontId="0" fillId="3" borderId="5" xfId="0" applyFill="1" applyBorder="1"/>
    <xf numFmtId="9" fontId="0" fillId="3" borderId="23" xfId="0" applyNumberFormat="1" applyFill="1" applyBorder="1"/>
    <xf numFmtId="9" fontId="0" fillId="3" borderId="24" xfId="0" applyNumberFormat="1" applyFill="1" applyBorder="1"/>
    <xf numFmtId="9" fontId="0" fillId="3" borderId="25" xfId="0" applyNumberFormat="1" applyFill="1" applyBorder="1"/>
    <xf numFmtId="0" fontId="5" fillId="3" borderId="11" xfId="0" applyFont="1" applyFill="1" applyBorder="1" applyAlignment="1">
      <alignment horizontal="center"/>
    </xf>
    <xf numFmtId="0" fontId="0" fillId="11" borderId="19" xfId="0" applyFill="1" applyBorder="1"/>
    <xf numFmtId="0" fontId="5" fillId="11" borderId="26" xfId="0" applyFont="1" applyFill="1" applyBorder="1"/>
    <xf numFmtId="1" fontId="5" fillId="3" borderId="26" xfId="0" applyNumberFormat="1" applyFont="1" applyFill="1" applyBorder="1"/>
    <xf numFmtId="0" fontId="0" fillId="11" borderId="31" xfId="0" applyFill="1" applyBorder="1"/>
    <xf numFmtId="0" fontId="5" fillId="3" borderId="26" xfId="0" applyFont="1" applyFill="1" applyBorder="1"/>
    <xf numFmtId="0" fontId="5" fillId="3" borderId="26" xfId="0" applyFont="1" applyFill="1" applyBorder="1" applyAlignment="1">
      <alignment horizontal="center"/>
    </xf>
    <xf numFmtId="9" fontId="0" fillId="3" borderId="30" xfId="0" applyNumberFormat="1" applyFill="1" applyBorder="1"/>
    <xf numFmtId="9" fontId="0" fillId="3" borderId="28" xfId="0" applyNumberFormat="1" applyFill="1" applyBorder="1"/>
    <xf numFmtId="9" fontId="0" fillId="3" borderId="32" xfId="0" applyNumberFormat="1" applyFill="1" applyBorder="1"/>
    <xf numFmtId="9" fontId="0" fillId="3" borderId="33" xfId="0" applyNumberFormat="1" applyFill="1" applyBorder="1"/>
    <xf numFmtId="9" fontId="14" fillId="3" borderId="15" xfId="0" applyNumberFormat="1" applyFont="1" applyFill="1" applyBorder="1"/>
    <xf numFmtId="9" fontId="14" fillId="3" borderId="15" xfId="22" applyFont="1" applyFill="1" applyBorder="1"/>
    <xf numFmtId="1" fontId="0" fillId="3" borderId="34" xfId="0" applyNumberFormat="1" applyFill="1" applyBorder="1"/>
    <xf numFmtId="0" fontId="5" fillId="11" borderId="7" xfId="0" applyFont="1" applyFill="1" applyBorder="1"/>
    <xf numFmtId="0" fontId="5" fillId="4" borderId="8" xfId="0" applyFont="1" applyFill="1" applyBorder="1"/>
    <xf numFmtId="0" fontId="0" fillId="4" borderId="6" xfId="0" applyFill="1" applyBorder="1"/>
    <xf numFmtId="0" fontId="5" fillId="4" borderId="7" xfId="0" applyFont="1" applyFill="1" applyBorder="1"/>
    <xf numFmtId="0" fontId="5" fillId="12" borderId="8" xfId="0" applyFont="1" applyFill="1" applyBorder="1"/>
    <xf numFmtId="0" fontId="0" fillId="12" borderId="7" xfId="0" applyFill="1" applyBorder="1"/>
    <xf numFmtId="0" fontId="0" fillId="12" borderId="6" xfId="0" applyFill="1" applyBorder="1"/>
    <xf numFmtId="0" fontId="5" fillId="12" borderId="7" xfId="0" applyFont="1" applyFill="1" applyBorder="1"/>
    <xf numFmtId="0" fontId="0" fillId="12" borderId="27" xfId="0" applyFill="1" applyBorder="1"/>
    <xf numFmtId="0" fontId="5" fillId="11" borderId="35" xfId="0" applyFont="1" applyFill="1" applyBorder="1"/>
    <xf numFmtId="0" fontId="5" fillId="3" borderId="3" xfId="0" applyFont="1" applyFill="1" applyBorder="1"/>
    <xf numFmtId="0" fontId="23" fillId="0" borderId="15" xfId="0" applyFont="1" applyBorder="1"/>
    <xf numFmtId="0" fontId="5" fillId="4" borderId="0" xfId="0" applyFont="1" applyFill="1" applyBorder="1" applyAlignment="1">
      <alignment horizontal="center"/>
    </xf>
    <xf numFmtId="0" fontId="0" fillId="12" borderId="0" xfId="0" applyFill="1"/>
    <xf numFmtId="0" fontId="0" fillId="13" borderId="0" xfId="0" applyFill="1" applyBorder="1"/>
    <xf numFmtId="0" fontId="0" fillId="13" borderId="0" xfId="0" applyFill="1"/>
    <xf numFmtId="0" fontId="5" fillId="13" borderId="8" xfId="0" applyFont="1" applyFill="1" applyBorder="1"/>
    <xf numFmtId="0" fontId="0" fillId="13" borderId="7" xfId="0" applyFill="1" applyBorder="1"/>
    <xf numFmtId="0" fontId="0" fillId="13" borderId="6" xfId="0" applyFill="1" applyBorder="1"/>
    <xf numFmtId="0" fontId="5" fillId="13" borderId="7" xfId="0" applyFont="1" applyFill="1" applyBorder="1"/>
    <xf numFmtId="0" fontId="5" fillId="3" borderId="0" xfId="33" applyFont="1" applyFill="1" applyBorder="1" applyAlignment="1" applyProtection="1"/>
    <xf numFmtId="0" fontId="5" fillId="3" borderId="1" xfId="33" applyFont="1" applyFill="1" applyBorder="1" applyAlignment="1" applyProtection="1"/>
    <xf numFmtId="0" fontId="5" fillId="10" borderId="0" xfId="0" applyFont="1" applyFill="1" applyBorder="1"/>
    <xf numFmtId="1" fontId="0" fillId="14" borderId="23" xfId="0" applyNumberFormat="1" applyFill="1" applyBorder="1"/>
    <xf numFmtId="9" fontId="0" fillId="14" borderId="15" xfId="22" applyFont="1" applyFill="1" applyBorder="1"/>
    <xf numFmtId="9" fontId="0" fillId="14" borderId="30" xfId="0" applyNumberFormat="1" applyFill="1" applyBorder="1"/>
    <xf numFmtId="0" fontId="23" fillId="3" borderId="15" xfId="0" applyFont="1" applyFill="1" applyBorder="1"/>
    <xf numFmtId="0" fontId="24" fillId="3" borderId="9" xfId="0" applyFont="1" applyFill="1" applyBorder="1"/>
    <xf numFmtId="169" fontId="23" fillId="0" borderId="15" xfId="0" applyNumberFormat="1" applyFont="1" applyBorder="1"/>
    <xf numFmtId="167" fontId="3" fillId="3" borderId="15" xfId="33" applyNumberFormat="1" applyFont="1" applyFill="1" applyBorder="1" applyAlignment="1" applyProtection="1"/>
    <xf numFmtId="167" fontId="0" fillId="3" borderId="17" xfId="0" applyNumberFormat="1" applyFill="1" applyBorder="1"/>
    <xf numFmtId="168" fontId="3" fillId="3" borderId="17" xfId="33" applyNumberFormat="1" applyFont="1" applyFill="1" applyBorder="1" applyAlignment="1" applyProtection="1"/>
    <xf numFmtId="167" fontId="0" fillId="3" borderId="15" xfId="0" applyNumberFormat="1" applyFill="1" applyBorder="1"/>
    <xf numFmtId="167" fontId="23" fillId="3" borderId="15" xfId="0" applyNumberFormat="1" applyFont="1" applyFill="1" applyBorder="1"/>
    <xf numFmtId="169" fontId="23" fillId="3" borderId="15" xfId="0" applyNumberFormat="1" applyFont="1" applyFill="1" applyBorder="1"/>
    <xf numFmtId="168" fontId="23" fillId="3" borderId="15" xfId="0" applyNumberFormat="1" applyFont="1" applyFill="1" applyBorder="1"/>
    <xf numFmtId="1" fontId="0" fillId="3" borderId="36" xfId="0" applyNumberFormat="1" applyFill="1" applyBorder="1"/>
    <xf numFmtId="1" fontId="5" fillId="3" borderId="37" xfId="0" applyNumberFormat="1" applyFont="1" applyFill="1" applyBorder="1"/>
    <xf numFmtId="1" fontId="0" fillId="14" borderId="36" xfId="0" applyNumberFormat="1" applyFill="1" applyBorder="1"/>
    <xf numFmtId="0" fontId="5" fillId="11" borderId="15" xfId="33" applyFont="1" applyFill="1" applyBorder="1" applyAlignment="1" applyProtection="1"/>
    <xf numFmtId="0" fontId="5" fillId="11" borderId="0" xfId="0" applyFont="1" applyFill="1"/>
    <xf numFmtId="0" fontId="5" fillId="11" borderId="38" xfId="0" applyFont="1" applyFill="1" applyBorder="1"/>
    <xf numFmtId="0" fontId="5" fillId="11" borderId="39" xfId="0" applyFont="1" applyFill="1" applyBorder="1"/>
    <xf numFmtId="0" fontId="5" fillId="11" borderId="40" xfId="0" applyFont="1" applyFill="1" applyBorder="1"/>
    <xf numFmtId="0" fontId="5" fillId="11" borderId="12" xfId="33" applyFont="1" applyFill="1" applyBorder="1" applyAlignment="1" applyProtection="1"/>
    <xf numFmtId="0" fontId="5" fillId="11" borderId="10" xfId="33" applyFont="1" applyFill="1" applyBorder="1" applyAlignment="1" applyProtection="1"/>
    <xf numFmtId="0" fontId="5" fillId="11" borderId="0" xfId="33" applyFont="1" applyFill="1" applyBorder="1" applyAlignment="1" applyProtection="1"/>
    <xf numFmtId="0" fontId="5" fillId="11" borderId="1" xfId="33" applyFont="1" applyFill="1" applyBorder="1" applyAlignment="1" applyProtection="1"/>
    <xf numFmtId="1" fontId="5" fillId="11" borderId="0" xfId="0" applyNumberFormat="1" applyFont="1" applyFill="1" applyBorder="1"/>
    <xf numFmtId="0" fontId="5" fillId="11" borderId="5" xfId="0" applyFont="1" applyFill="1" applyBorder="1"/>
    <xf numFmtId="0" fontId="0" fillId="11" borderId="1" xfId="0" applyFill="1" applyBorder="1"/>
    <xf numFmtId="0" fontId="0" fillId="13" borderId="5" xfId="0" applyFill="1" applyBorder="1"/>
    <xf numFmtId="0" fontId="0" fillId="13" borderId="1" xfId="0" applyFill="1" applyBorder="1"/>
    <xf numFmtId="0" fontId="5" fillId="4" borderId="0" xfId="0" applyFont="1" applyFill="1" applyBorder="1"/>
    <xf numFmtId="0" fontId="5" fillId="4" borderId="5" xfId="0" applyFont="1" applyFill="1" applyBorder="1"/>
    <xf numFmtId="0" fontId="5" fillId="4" borderId="1" xfId="0" applyFont="1" applyFill="1" applyBorder="1"/>
    <xf numFmtId="0" fontId="0" fillId="11" borderId="13" xfId="0" applyFill="1" applyBorder="1"/>
    <xf numFmtId="0" fontId="5" fillId="11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5" borderId="0" xfId="0" applyFont="1" applyFill="1"/>
    <xf numFmtId="0" fontId="0" fillId="15" borderId="0" xfId="0" applyFill="1"/>
    <xf numFmtId="0" fontId="5" fillId="13" borderId="0" xfId="0" applyFont="1" applyFill="1"/>
    <xf numFmtId="1" fontId="0" fillId="4" borderId="0" xfId="0" applyNumberFormat="1" applyFill="1"/>
    <xf numFmtId="0" fontId="0" fillId="14" borderId="0" xfId="0" applyFill="1"/>
    <xf numFmtId="0" fontId="5" fillId="14" borderId="15" xfId="0" applyFont="1" applyFill="1" applyBorder="1"/>
    <xf numFmtId="3" fontId="0" fillId="3" borderId="15" xfId="0" applyNumberFormat="1" applyFill="1" applyBorder="1"/>
    <xf numFmtId="0" fontId="5" fillId="14" borderId="38" xfId="0" applyFont="1" applyFill="1" applyBorder="1"/>
    <xf numFmtId="0" fontId="5" fillId="14" borderId="39" xfId="0" applyFont="1" applyFill="1" applyBorder="1"/>
    <xf numFmtId="0" fontId="5" fillId="14" borderId="41" xfId="0" applyFont="1" applyFill="1" applyBorder="1"/>
    <xf numFmtId="0" fontId="5" fillId="3" borderId="16" xfId="0" applyFont="1" applyFill="1" applyBorder="1"/>
    <xf numFmtId="3" fontId="0" fillId="3" borderId="42" xfId="0" applyNumberFormat="1" applyFill="1" applyBorder="1"/>
    <xf numFmtId="0" fontId="25" fillId="3" borderId="16" xfId="0" applyFont="1" applyFill="1" applyBorder="1" applyAlignment="1">
      <alignment horizontal="right"/>
    </xf>
    <xf numFmtId="0" fontId="0" fillId="3" borderId="42" xfId="0" applyFill="1" applyBorder="1"/>
    <xf numFmtId="0" fontId="5" fillId="14" borderId="16" xfId="0" applyFont="1" applyFill="1" applyBorder="1"/>
    <xf numFmtId="0" fontId="5" fillId="14" borderId="42" xfId="0" applyFont="1" applyFill="1" applyBorder="1"/>
    <xf numFmtId="1" fontId="0" fillId="3" borderId="42" xfId="0" applyNumberFormat="1" applyFill="1" applyBorder="1"/>
    <xf numFmtId="0" fontId="25" fillId="3" borderId="43" xfId="0" applyFont="1" applyFill="1" applyBorder="1" applyAlignment="1">
      <alignment horizontal="right"/>
    </xf>
    <xf numFmtId="0" fontId="0" fillId="3" borderId="44" xfId="0" applyFill="1" applyBorder="1"/>
    <xf numFmtId="170" fontId="0" fillId="3" borderId="16" xfId="34" applyNumberFormat="1" applyFont="1" applyFill="1" applyBorder="1"/>
    <xf numFmtId="9" fontId="0" fillId="3" borderId="15" xfId="34" applyFont="1" applyFill="1" applyBorder="1"/>
    <xf numFmtId="170" fontId="0" fillId="3" borderId="15" xfId="34" applyNumberFormat="1" applyFont="1" applyFill="1" applyBorder="1"/>
    <xf numFmtId="170" fontId="0" fillId="3" borderId="42" xfId="34" applyNumberFormat="1" applyFont="1" applyFill="1" applyBorder="1"/>
    <xf numFmtId="170" fontId="0" fillId="3" borderId="16" xfId="0" applyNumberFormat="1" applyFill="1" applyBorder="1"/>
    <xf numFmtId="9" fontId="0" fillId="3" borderId="15" xfId="34" applyNumberFormat="1" applyFont="1" applyFill="1" applyBorder="1"/>
    <xf numFmtId="9" fontId="0" fillId="3" borderId="42" xfId="34" applyNumberFormat="1" applyFont="1" applyFill="1" applyBorder="1"/>
    <xf numFmtId="9" fontId="0" fillId="3" borderId="42" xfId="0" applyNumberFormat="1" applyFill="1" applyBorder="1"/>
    <xf numFmtId="9" fontId="0" fillId="3" borderId="16" xfId="0" applyNumberFormat="1" applyFill="1" applyBorder="1"/>
    <xf numFmtId="168" fontId="23" fillId="0" borderId="15" xfId="0" applyNumberFormat="1" applyFont="1" applyBorder="1"/>
    <xf numFmtId="0" fontId="0" fillId="16" borderId="0" xfId="0" applyFill="1"/>
    <xf numFmtId="0" fontId="5" fillId="16" borderId="0" xfId="0" applyFont="1" applyFill="1"/>
    <xf numFmtId="0" fontId="0" fillId="15" borderId="15" xfId="0" applyFill="1" applyBorder="1"/>
    <xf numFmtId="0" fontId="15" fillId="3" borderId="0" xfId="33" applyFill="1" applyAlignment="1" applyProtection="1"/>
    <xf numFmtId="0" fontId="0" fillId="3" borderId="8" xfId="0" applyFill="1" applyBorder="1"/>
    <xf numFmtId="0" fontId="0" fillId="3" borderId="7" xfId="0" applyFill="1" applyBorder="1"/>
    <xf numFmtId="0" fontId="0" fillId="3" borderId="6" xfId="0" applyFill="1" applyBorder="1"/>
    <xf numFmtId="0" fontId="15" fillId="3" borderId="0" xfId="33" applyFill="1" applyBorder="1" applyAlignment="1" applyProtection="1"/>
    <xf numFmtId="0" fontId="5" fillId="16" borderId="5" xfId="0" applyFont="1" applyFill="1" applyBorder="1"/>
    <xf numFmtId="0" fontId="0" fillId="15" borderId="0" xfId="0" applyFill="1" applyBorder="1"/>
    <xf numFmtId="0" fontId="0" fillId="15" borderId="1" xfId="0" applyFill="1" applyBorder="1"/>
    <xf numFmtId="0" fontId="0" fillId="16" borderId="5" xfId="0" applyFill="1" applyBorder="1"/>
    <xf numFmtId="0" fontId="0" fillId="3" borderId="4" xfId="0" applyFill="1" applyBorder="1"/>
    <xf numFmtId="0" fontId="0" fillId="3" borderId="3" xfId="0" applyFill="1" applyBorder="1"/>
    <xf numFmtId="3" fontId="0" fillId="3" borderId="45" xfId="0" applyNumberFormat="1" applyFill="1" applyBorder="1"/>
    <xf numFmtId="0" fontId="0" fillId="3" borderId="2" xfId="0" applyFill="1" applyBorder="1"/>
    <xf numFmtId="0" fontId="25" fillId="3" borderId="0" xfId="0" applyFont="1" applyFill="1" applyBorder="1" applyAlignment="1">
      <alignment horizontal="right"/>
    </xf>
    <xf numFmtId="3" fontId="0" fillId="3" borderId="0" xfId="0" applyNumberFormat="1" applyFill="1" applyBorder="1"/>
    <xf numFmtId="170" fontId="0" fillId="3" borderId="0" xfId="0" applyNumberFormat="1" applyFill="1" applyBorder="1"/>
    <xf numFmtId="9" fontId="0" fillId="3" borderId="0" xfId="0" applyNumberFormat="1" applyFill="1" applyBorder="1"/>
    <xf numFmtId="9" fontId="0" fillId="3" borderId="0" xfId="0" applyNumberFormat="1" applyFill="1"/>
    <xf numFmtId="0" fontId="5" fillId="11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23" fillId="3" borderId="15" xfId="0" applyNumberFormat="1" applyFont="1" applyFill="1" applyBorder="1"/>
    <xf numFmtId="0" fontId="5" fillId="11" borderId="1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20" xfId="0" applyBorder="1" applyAlignment="1"/>
    <xf numFmtId="0" fontId="0" fillId="0" borderId="17" xfId="0" applyBorder="1" applyAlignment="1"/>
    <xf numFmtId="0" fontId="0" fillId="0" borderId="0" xfId="0" applyAlignment="1">
      <alignment horizontal="center"/>
    </xf>
  </cellXfs>
  <cellStyles count="35">
    <cellStyle name="Calc area" xfId="2"/>
    <cellStyle name="Dezimal 2" xfId="3"/>
    <cellStyle name="Dezimal 2 2" xfId="4"/>
    <cellStyle name="Good 2" xfId="5"/>
    <cellStyle name="Hyperlink" xfId="33" builtinId="8"/>
    <cellStyle name="Hyperlink 2" xfId="6"/>
    <cellStyle name="Needs attention" xfId="7"/>
    <cellStyle name="Normaallaad 2" xfId="8"/>
    <cellStyle name="Normaallaad 2 2" xfId="9"/>
    <cellStyle name="Normal" xfId="0" builtinId="0"/>
    <cellStyle name="Normal 10" xfId="10"/>
    <cellStyle name="Normal 11" xfId="11"/>
    <cellStyle name="Normal 2" xfId="12"/>
    <cellStyle name="Normal 2 2" xfId="13"/>
    <cellStyle name="Normal 3" xfId="1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34" builtinId="5"/>
    <cellStyle name="Percent 2" xfId="22"/>
    <cellStyle name="Percent 3" xfId="23"/>
    <cellStyle name="Prozent 2" xfId="24"/>
    <cellStyle name="Prozent 3" xfId="25"/>
    <cellStyle name="Standard 2" xfId="26"/>
    <cellStyle name="Standard 3" xfId="27"/>
    <cellStyle name="Standard 3 2" xfId="28"/>
    <cellStyle name="Standard 4" xfId="29"/>
    <cellStyle name="User input" xfId="30"/>
    <cellStyle name="User input 2" xfId="31"/>
    <cellStyle name="User input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CO</a:t>
            </a:r>
            <a:r>
              <a:rPr lang="et-EE" sz="1200"/>
              <a:t>2 </a:t>
            </a:r>
            <a:r>
              <a:rPr lang="et-EE" sz="1600"/>
              <a:t>transpordist</a:t>
            </a:r>
            <a:endParaRPr lang="et-EE"/>
          </a:p>
          <a:p>
            <a:pPr>
              <a:defRPr/>
            </a:pP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6062992125983"/>
          <c:y val="0.14839129483814639"/>
          <c:w val="0.66423512685914265"/>
          <c:h val="0.73562882764655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'Ohusaaste (joonised)'!$A$174</c:f>
              <c:strCache>
                <c:ptCount val="1"/>
                <c:pt idx="0">
                  <c:v>BAU</c:v>
                </c:pt>
              </c:strCache>
            </c:strRef>
          </c:tx>
          <c:invertIfNegative val="0"/>
          <c:cat>
            <c:numRef>
              <c:f>'Ohusaaste (joonised)'!$B$173:$I$173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(joonised)'!$B$174:$I$174</c:f>
              <c:numCache>
                <c:formatCode>#,##0</c:formatCode>
                <c:ptCount val="7"/>
                <c:pt idx="0">
                  <c:v>2248000</c:v>
                </c:pt>
                <c:pt idx="1">
                  <c:v>2394646.6779310168</c:v>
                </c:pt>
                <c:pt idx="2">
                  <c:v>2653907.2548743365</c:v>
                </c:pt>
                <c:pt idx="3">
                  <c:v>2816614.7185939001</c:v>
                </c:pt>
                <c:pt idx="4">
                  <c:v>3087233.270393461</c:v>
                </c:pt>
                <c:pt idx="5" formatCode="0">
                  <c:v>2788935.0459882622</c:v>
                </c:pt>
                <c:pt idx="6">
                  <c:v>2490636.8215830633</c:v>
                </c:pt>
              </c:numCache>
            </c:numRef>
          </c:val>
        </c:ser>
        <c:ser>
          <c:idx val="1"/>
          <c:order val="1"/>
          <c:tx>
            <c:strRef>
              <c:f>'Ohusaaste (joonised)'!$A$175</c:f>
              <c:strCache>
                <c:ptCount val="1"/>
                <c:pt idx="0">
                  <c:v>VS_TAK</c:v>
                </c:pt>
              </c:strCache>
            </c:strRef>
          </c:tx>
          <c:invertIfNegative val="0"/>
          <c:cat>
            <c:numRef>
              <c:f>'Ohusaaste (joonised)'!$B$173:$I$173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(joonised)'!$B$175:$I$175</c:f>
              <c:numCache>
                <c:formatCode>#,##0</c:formatCode>
                <c:ptCount val="7"/>
                <c:pt idx="0">
                  <c:v>2248000</c:v>
                </c:pt>
                <c:pt idx="1">
                  <c:v>2215366.2714910498</c:v>
                </c:pt>
                <c:pt idx="2">
                  <c:v>2295346.4419944016</c:v>
                </c:pt>
                <c:pt idx="3">
                  <c:v>2327318.0008590966</c:v>
                </c:pt>
                <c:pt idx="4">
                  <c:v>2359289.5597237912</c:v>
                </c:pt>
                <c:pt idx="5" formatCode="0">
                  <c:v>2125835.9434233787</c:v>
                </c:pt>
                <c:pt idx="6">
                  <c:v>1892382.3271229663</c:v>
                </c:pt>
              </c:numCache>
            </c:numRef>
          </c:val>
        </c:ser>
        <c:ser>
          <c:idx val="2"/>
          <c:order val="2"/>
          <c:tx>
            <c:strRef>
              <c:f>'Ohusaaste (joonised)'!$A$176</c:f>
              <c:strCache>
                <c:ptCount val="1"/>
                <c:pt idx="0">
                  <c:v>TP_EE</c:v>
                </c:pt>
              </c:strCache>
            </c:strRef>
          </c:tx>
          <c:invertIfNegative val="0"/>
          <c:cat>
            <c:numRef>
              <c:f>'Ohusaaste (joonised)'!$B$173:$I$173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(joonised)'!$B$176:$I$176</c:f>
              <c:numCache>
                <c:formatCode>#,##0</c:formatCode>
                <c:ptCount val="7"/>
                <c:pt idx="0">
                  <c:v>2248000</c:v>
                </c:pt>
                <c:pt idx="1">
                  <c:v>2196370.4249105351</c:v>
                </c:pt>
                <c:pt idx="2">
                  <c:v>1986918.7766279592</c:v>
                </c:pt>
                <c:pt idx="3">
                  <c:v>1710274.5441133208</c:v>
                </c:pt>
                <c:pt idx="4">
                  <c:v>1433630.3115986825</c:v>
                </c:pt>
                <c:pt idx="5" formatCode="0">
                  <c:v>982257.6511180012</c:v>
                </c:pt>
                <c:pt idx="6">
                  <c:v>530884.99063731998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54680"/>
        <c:axId val="113598872"/>
      </c:barChart>
      <c:catAx>
        <c:axId val="19925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598872"/>
        <c:crosses val="autoZero"/>
        <c:auto val="1"/>
        <c:lblAlgn val="ctr"/>
        <c:lblOffset val="100"/>
        <c:noMultiLvlLbl val="0"/>
      </c:catAx>
      <c:valAx>
        <c:axId val="113598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tonni/aastas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9254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NOx transpordist</a:t>
            </a:r>
          </a:p>
          <a:p>
            <a:pPr>
              <a:defRPr/>
            </a:pP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1944564621737"/>
          <c:y val="0.16228018372703554"/>
          <c:w val="0.7000732600732601"/>
          <c:h val="0.7217399387576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'Ohusaaste (joonised)'!$A$179</c:f>
              <c:strCache>
                <c:ptCount val="1"/>
                <c:pt idx="0">
                  <c:v>BAU</c:v>
                </c:pt>
              </c:strCache>
            </c:strRef>
          </c:tx>
          <c:invertIfNegative val="0"/>
          <c:cat>
            <c:numRef>
              <c:f>'Ohusaaste (joonised)'!$B$178:$I$178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(joonised)'!$B$179:$I$179</c:f>
              <c:numCache>
                <c:formatCode>0</c:formatCode>
                <c:ptCount val="7"/>
                <c:pt idx="0">
                  <c:v>11547</c:v>
                </c:pt>
                <c:pt idx="1">
                  <c:v>11241.824886642728</c:v>
                </c:pt>
                <c:pt idx="2">
                  <c:v>10936.649773285453</c:v>
                </c:pt>
                <c:pt idx="3">
                  <c:v>8187.1607763131724</c:v>
                </c:pt>
                <c:pt idx="4">
                  <c:v>5437.6717793408925</c:v>
                </c:pt>
                <c:pt idx="5">
                  <c:v>4775.0774668934791</c:v>
                </c:pt>
                <c:pt idx="6">
                  <c:v>4112.4831544460658</c:v>
                </c:pt>
              </c:numCache>
            </c:numRef>
          </c:val>
        </c:ser>
        <c:ser>
          <c:idx val="1"/>
          <c:order val="1"/>
          <c:tx>
            <c:strRef>
              <c:f>'Ohusaaste (joonised)'!$A$180</c:f>
              <c:strCache>
                <c:ptCount val="1"/>
                <c:pt idx="0">
                  <c:v>VS_TAK</c:v>
                </c:pt>
              </c:strCache>
            </c:strRef>
          </c:tx>
          <c:invertIfNegative val="0"/>
          <c:cat>
            <c:numRef>
              <c:f>'Ohusaaste (joonised)'!$B$178:$I$178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(joonised)'!$B$180:$I$180</c:f>
              <c:numCache>
                <c:formatCode>0</c:formatCode>
                <c:ptCount val="7"/>
                <c:pt idx="0">
                  <c:v>11547</c:v>
                </c:pt>
                <c:pt idx="1">
                  <c:v>10600.78760539864</c:v>
                </c:pt>
                <c:pt idx="2">
                  <c:v>9654.5752107972803</c:v>
                </c:pt>
                <c:pt idx="3">
                  <c:v>6991.1111204496146</c:v>
                </c:pt>
                <c:pt idx="4">
                  <c:v>4327.647030101949</c:v>
                </c:pt>
                <c:pt idx="5">
                  <c:v>3698.4454131484799</c:v>
                </c:pt>
                <c:pt idx="6">
                  <c:v>3069.2437961950113</c:v>
                </c:pt>
              </c:numCache>
            </c:numRef>
          </c:val>
        </c:ser>
        <c:ser>
          <c:idx val="2"/>
          <c:order val="2"/>
          <c:tx>
            <c:strRef>
              <c:f>'Ohusaaste (joonised)'!$A$181</c:f>
              <c:strCache>
                <c:ptCount val="1"/>
                <c:pt idx="0">
                  <c:v>TP_EE</c:v>
                </c:pt>
              </c:strCache>
            </c:strRef>
          </c:tx>
          <c:invertIfNegative val="0"/>
          <c:cat>
            <c:numRef>
              <c:f>'Ohusaaste (joonised)'!$B$178:$I$178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(joonised)'!$B$181:$I$181</c:f>
              <c:numCache>
                <c:formatCode>0</c:formatCode>
                <c:ptCount val="7"/>
                <c:pt idx="0">
                  <c:v>11547</c:v>
                </c:pt>
                <c:pt idx="1">
                  <c:v>10464.681168678497</c:v>
                </c:pt>
                <c:pt idx="2">
                  <c:v>9382.3623373569935</c:v>
                </c:pt>
                <c:pt idx="3">
                  <c:v>6346.7860628244762</c:v>
                </c:pt>
                <c:pt idx="4">
                  <c:v>3311.2097882919593</c:v>
                </c:pt>
                <c:pt idx="5">
                  <c:v>2442.8308606545311</c:v>
                </c:pt>
                <c:pt idx="6">
                  <c:v>1574.4519330171031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25480"/>
        <c:axId val="200627040"/>
      </c:barChart>
      <c:catAx>
        <c:axId val="20062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0627040"/>
        <c:crosses val="autoZero"/>
        <c:auto val="1"/>
        <c:lblAlgn val="ctr"/>
        <c:lblOffset val="100"/>
        <c:noMultiLvlLbl val="0"/>
      </c:catAx>
      <c:valAx>
        <c:axId val="20062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tonni/aastas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00625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SO</a:t>
            </a:r>
            <a:r>
              <a:rPr lang="et-EE" sz="1400"/>
              <a:t>2</a:t>
            </a:r>
            <a:r>
              <a:rPr lang="et-EE"/>
              <a:t> transpordist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7432222812643"/>
          <c:y val="0.19480351414406533"/>
          <c:w val="0.7518599745583977"/>
          <c:h val="0.68921660834062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'Ohusaaste (joonised)'!$A$189</c:f>
              <c:strCache>
                <c:ptCount val="1"/>
                <c:pt idx="0">
                  <c:v>BAU</c:v>
                </c:pt>
              </c:strCache>
            </c:strRef>
          </c:tx>
          <c:invertIfNegative val="0"/>
          <c:cat>
            <c:numRef>
              <c:f>'Ohusaaste (joonised)'!$B$188:$I$188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(joonised)'!$B$189:$I$189</c:f>
              <c:numCache>
                <c:formatCode>0</c:formatCode>
                <c:ptCount val="7"/>
                <c:pt idx="0" formatCode="General">
                  <c:v>76</c:v>
                </c:pt>
                <c:pt idx="1">
                  <c:v>45.474292147806842</c:v>
                </c:pt>
                <c:pt idx="2">
                  <c:v>14.948584295613685</c:v>
                </c:pt>
                <c:pt idx="3">
                  <c:v>15.650091683094727</c:v>
                </c:pt>
                <c:pt idx="4">
                  <c:v>16.351599070575769</c:v>
                </c:pt>
                <c:pt idx="5">
                  <c:v>14.608699086659978</c:v>
                </c:pt>
                <c:pt idx="6">
                  <c:v>12.865799102744189</c:v>
                </c:pt>
              </c:numCache>
            </c:numRef>
          </c:val>
        </c:ser>
        <c:ser>
          <c:idx val="1"/>
          <c:order val="1"/>
          <c:tx>
            <c:strRef>
              <c:f>'Ohusaaste (joonised)'!$A$190</c:f>
              <c:strCache>
                <c:ptCount val="1"/>
                <c:pt idx="0">
                  <c:v>VS_TAK</c:v>
                </c:pt>
              </c:strCache>
            </c:strRef>
          </c:tx>
          <c:invertIfNegative val="0"/>
          <c:cat>
            <c:numRef>
              <c:f>'Ohusaaste (joonised)'!$B$188:$I$188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(joonised)'!$B$190:$I$190</c:f>
              <c:numCache>
                <c:formatCode>0</c:formatCode>
                <c:ptCount val="7"/>
                <c:pt idx="0" formatCode="General">
                  <c:v>76</c:v>
                </c:pt>
                <c:pt idx="1">
                  <c:v>44.497415174912135</c:v>
                </c:pt>
                <c:pt idx="2">
                  <c:v>12.994830349824268</c:v>
                </c:pt>
                <c:pt idx="3">
                  <c:v>13.235914334151762</c:v>
                </c:pt>
                <c:pt idx="4">
                  <c:v>13.476998318479257</c:v>
                </c:pt>
                <c:pt idx="5">
                  <c:v>11.47840819296794</c:v>
                </c:pt>
                <c:pt idx="6">
                  <c:v>9.4798180674566215</c:v>
                </c:pt>
              </c:numCache>
            </c:numRef>
          </c:val>
        </c:ser>
        <c:ser>
          <c:idx val="2"/>
          <c:order val="2"/>
          <c:tx>
            <c:strRef>
              <c:f>'Ohusaaste (joonised)'!$A$191</c:f>
              <c:strCache>
                <c:ptCount val="1"/>
                <c:pt idx="0">
                  <c:v>TP_EE</c:v>
                </c:pt>
              </c:strCache>
            </c:strRef>
          </c:tx>
          <c:invertIfNegative val="0"/>
          <c:cat>
            <c:numRef>
              <c:f>'Ohusaaste (joonised)'!$B$188:$I$188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(joonised)'!$B$191:$I$191</c:f>
              <c:numCache>
                <c:formatCode>0</c:formatCode>
                <c:ptCount val="7"/>
                <c:pt idx="0" formatCode="General">
                  <c:v>76</c:v>
                </c:pt>
                <c:pt idx="1">
                  <c:v>44.196060346830421</c:v>
                </c:pt>
                <c:pt idx="2">
                  <c:v>12.392120693660845</c:v>
                </c:pt>
                <c:pt idx="3">
                  <c:v>11.2389595678454</c:v>
                </c:pt>
                <c:pt idx="4">
                  <c:v>10.085798442029956</c:v>
                </c:pt>
                <c:pt idx="5">
                  <c:v>8.095476745103765</c:v>
                </c:pt>
                <c:pt idx="6">
                  <c:v>6.1051550481775747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91496"/>
        <c:axId val="200585936"/>
      </c:barChart>
      <c:catAx>
        <c:axId val="20059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0585936"/>
        <c:crosses val="autoZero"/>
        <c:auto val="1"/>
        <c:lblAlgn val="ctr"/>
        <c:lblOffset val="100"/>
        <c:noMultiLvlLbl val="0"/>
      </c:catAx>
      <c:valAx>
        <c:axId val="200585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tonni/aastas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0591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HC transpordist</a:t>
            </a:r>
          </a:p>
          <a:p>
            <a:pPr>
              <a:defRPr/>
            </a:pP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'Ohusaaste (joonised)'!$A$194</c:f>
              <c:strCache>
                <c:ptCount val="1"/>
                <c:pt idx="0">
                  <c:v>BAU</c:v>
                </c:pt>
              </c:strCache>
            </c:strRef>
          </c:tx>
          <c:invertIfNegative val="0"/>
          <c:cat>
            <c:numRef>
              <c:f>'Ohusaaste (joonised)'!$B$193:$I$193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(joonised)'!$B$194:$I$194</c:f>
              <c:numCache>
                <c:formatCode>0</c:formatCode>
                <c:ptCount val="7"/>
                <c:pt idx="0" formatCode="General">
                  <c:v>2578</c:v>
                </c:pt>
                <c:pt idx="1">
                  <c:v>2260.5762025608074</c:v>
                </c:pt>
                <c:pt idx="2">
                  <c:v>1943.1524051216152</c:v>
                </c:pt>
                <c:pt idx="3">
                  <c:v>1320.2372437411252</c:v>
                </c:pt>
                <c:pt idx="4">
                  <c:v>697.32208236063514</c:v>
                </c:pt>
                <c:pt idx="5">
                  <c:v>610.04996338180433</c:v>
                </c:pt>
                <c:pt idx="6">
                  <c:v>522.77784440297353</c:v>
                </c:pt>
              </c:numCache>
            </c:numRef>
          </c:val>
        </c:ser>
        <c:ser>
          <c:idx val="1"/>
          <c:order val="1"/>
          <c:tx>
            <c:strRef>
              <c:f>'Ohusaaste (joonised)'!$A$195</c:f>
              <c:strCache>
                <c:ptCount val="1"/>
                <c:pt idx="0">
                  <c:v>VS_TAK</c:v>
                </c:pt>
              </c:strCache>
            </c:strRef>
          </c:tx>
          <c:invertIfNegative val="0"/>
          <c:cat>
            <c:numRef>
              <c:f>'Ohusaaste (joonised)'!$B$193:$I$193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(joonised)'!$B$195:$I$195</c:f>
              <c:numCache>
                <c:formatCode>0</c:formatCode>
                <c:ptCount val="7"/>
                <c:pt idx="0" formatCode="General">
                  <c:v>2578</c:v>
                </c:pt>
                <c:pt idx="1">
                  <c:v>2199.6672450299161</c:v>
                </c:pt>
                <c:pt idx="2">
                  <c:v>1821.3344900598324</c:v>
                </c:pt>
                <c:pt idx="3">
                  <c:v>1330.1232790296349</c:v>
                </c:pt>
                <c:pt idx="4">
                  <c:v>838.91206799943711</c:v>
                </c:pt>
                <c:pt idx="5">
                  <c:v>745.61874939236031</c:v>
                </c:pt>
                <c:pt idx="6">
                  <c:v>652.32543078528352</c:v>
                </c:pt>
              </c:numCache>
            </c:numRef>
          </c:val>
        </c:ser>
        <c:ser>
          <c:idx val="2"/>
          <c:order val="2"/>
          <c:tx>
            <c:strRef>
              <c:f>'Ohusaaste (joonised)'!$A$196</c:f>
              <c:strCache>
                <c:ptCount val="1"/>
                <c:pt idx="0">
                  <c:v>TP_EE</c:v>
                </c:pt>
              </c:strCache>
            </c:strRef>
          </c:tx>
          <c:invertIfNegative val="0"/>
          <c:cat>
            <c:numRef>
              <c:f>'Ohusaaste (joonised)'!$B$193:$I$193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(joonised)'!$B$196:$I$196</c:f>
              <c:numCache>
                <c:formatCode>0</c:formatCode>
                <c:ptCount val="7"/>
                <c:pt idx="0" formatCode="General">
                  <c:v>2578</c:v>
                </c:pt>
                <c:pt idx="1">
                  <c:v>2186.8247549311191</c:v>
                </c:pt>
                <c:pt idx="2">
                  <c:v>1795.6495098622383</c:v>
                </c:pt>
                <c:pt idx="3">
                  <c:v>1258.610839707635</c:v>
                </c:pt>
                <c:pt idx="4">
                  <c:v>721.57216955303193</c:v>
                </c:pt>
                <c:pt idx="5">
                  <c:v>558.95433775381798</c:v>
                </c:pt>
                <c:pt idx="6">
                  <c:v>396.33650595460409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4040"/>
        <c:axId val="113164432"/>
      </c:barChart>
      <c:catAx>
        <c:axId val="11316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164432"/>
        <c:crosses val="autoZero"/>
        <c:auto val="1"/>
        <c:lblAlgn val="ctr"/>
        <c:lblOffset val="100"/>
        <c:noMultiLvlLbl val="0"/>
      </c:catAx>
      <c:valAx>
        <c:axId val="11316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tonni/aastas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164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PM</a:t>
            </a:r>
            <a:r>
              <a:rPr lang="et-EE" sz="1200"/>
              <a:t>2,5</a:t>
            </a:r>
            <a:r>
              <a:rPr lang="et-EE"/>
              <a:t> transpordist</a:t>
            </a:r>
          </a:p>
          <a:p>
            <a:pPr>
              <a:defRPr/>
            </a:pPr>
            <a:endParaRPr lang="et-EE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'Ohusaaste (joonised)'!$A$184</c:f>
              <c:strCache>
                <c:ptCount val="1"/>
                <c:pt idx="0">
                  <c:v>BAU</c:v>
                </c:pt>
              </c:strCache>
            </c:strRef>
          </c:tx>
          <c:invertIfNegative val="0"/>
          <c:cat>
            <c:numRef>
              <c:f>'Ohusaaste (joonised)'!$B$183:$I$183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(joonised)'!$B$184:$I$184</c:f>
              <c:numCache>
                <c:formatCode>0</c:formatCode>
                <c:ptCount val="7"/>
                <c:pt idx="0">
                  <c:v>499</c:v>
                </c:pt>
                <c:pt idx="1">
                  <c:v>396.87667813740211</c:v>
                </c:pt>
                <c:pt idx="2">
                  <c:v>294.75335627480422</c:v>
                </c:pt>
                <c:pt idx="3">
                  <c:v>201.92424648411378</c:v>
                </c:pt>
                <c:pt idx="4">
                  <c:v>109.09513669342337</c:v>
                </c:pt>
                <c:pt idx="5">
                  <c:v>100.07792184880806</c:v>
                </c:pt>
                <c:pt idx="6">
                  <c:v>91.06070700419275</c:v>
                </c:pt>
              </c:numCache>
            </c:numRef>
          </c:val>
        </c:ser>
        <c:ser>
          <c:idx val="1"/>
          <c:order val="1"/>
          <c:tx>
            <c:strRef>
              <c:f>'Ohusaaste (joonised)'!$A$185</c:f>
              <c:strCache>
                <c:ptCount val="1"/>
                <c:pt idx="0">
                  <c:v>VS_TAK</c:v>
                </c:pt>
              </c:strCache>
            </c:strRef>
          </c:tx>
          <c:invertIfNegative val="0"/>
          <c:cat>
            <c:numRef>
              <c:f>'Ohusaaste (joonised)'!$B$183:$I$183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(joonised)'!$B$185:$I$185</c:f>
              <c:numCache>
                <c:formatCode>0</c:formatCode>
                <c:ptCount val="7"/>
                <c:pt idx="0">
                  <c:v>499</c:v>
                </c:pt>
                <c:pt idx="1">
                  <c:v>382.04363922878736</c:v>
                </c:pt>
                <c:pt idx="2">
                  <c:v>265.08727845757471</c:v>
                </c:pt>
                <c:pt idx="3">
                  <c:v>175.67518353333026</c:v>
                </c:pt>
                <c:pt idx="4">
                  <c:v>86.263088609085813</c:v>
                </c:pt>
                <c:pt idx="5">
                  <c:v>78.927712370238879</c:v>
                </c:pt>
                <c:pt idx="6">
                  <c:v>71.592336131391932</c:v>
                </c:pt>
              </c:numCache>
            </c:numRef>
          </c:val>
        </c:ser>
        <c:ser>
          <c:idx val="2"/>
          <c:order val="2"/>
          <c:tx>
            <c:strRef>
              <c:f>'Ohusaaste (joonised)'!$A$186</c:f>
              <c:strCache>
                <c:ptCount val="1"/>
                <c:pt idx="0">
                  <c:v>TP_EE</c:v>
                </c:pt>
              </c:strCache>
            </c:strRef>
          </c:tx>
          <c:invertIfNegative val="0"/>
          <c:cat>
            <c:numRef>
              <c:f>'Ohusaaste (joonised)'!$B$183:$I$183</c:f>
              <c:numCache>
                <c:formatCode>General</c:formatCode>
                <c:ptCount val="7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'Ohusaaste (joonised)'!$B$186:$I$186</c:f>
              <c:numCache>
                <c:formatCode>0</c:formatCode>
                <c:ptCount val="7"/>
                <c:pt idx="0">
                  <c:v>499</c:v>
                </c:pt>
                <c:pt idx="1">
                  <c:v>377.37591869984442</c:v>
                </c:pt>
                <c:pt idx="2">
                  <c:v>255.75183739968878</c:v>
                </c:pt>
                <c:pt idx="3">
                  <c:v>157.7467294717367</c:v>
                </c:pt>
                <c:pt idx="4">
                  <c:v>59.741621543784618</c:v>
                </c:pt>
                <c:pt idx="5">
                  <c:v>45.445733495196706</c:v>
                </c:pt>
                <c:pt idx="6">
                  <c:v>31.149845446608797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81152"/>
        <c:axId val="201081544"/>
      </c:barChart>
      <c:catAx>
        <c:axId val="201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081544"/>
        <c:crosses val="autoZero"/>
        <c:auto val="1"/>
        <c:lblAlgn val="ctr"/>
        <c:lblOffset val="100"/>
        <c:noMultiLvlLbl val="0"/>
      </c:catAx>
      <c:valAx>
        <c:axId val="201081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tonni/aastas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108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38099</xdr:colOff>
      <xdr:row>4</xdr:row>
      <xdr:rowOff>85725</xdr:rowOff>
    </xdr:from>
    <xdr:to>
      <xdr:col>25</xdr:col>
      <xdr:colOff>485774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40</xdr:row>
      <xdr:rowOff>161925</xdr:rowOff>
    </xdr:from>
    <xdr:to>
      <xdr:col>25</xdr:col>
      <xdr:colOff>76200</xdr:colOff>
      <xdr:row>63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171450</xdr:colOff>
      <xdr:row>65</xdr:row>
      <xdr:rowOff>85725</xdr:rowOff>
    </xdr:from>
    <xdr:to>
      <xdr:col>23</xdr:col>
      <xdr:colOff>561975</xdr:colOff>
      <xdr:row>82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190500</xdr:colOff>
      <xdr:row>83</xdr:row>
      <xdr:rowOff>85725</xdr:rowOff>
    </xdr:from>
    <xdr:to>
      <xdr:col>23</xdr:col>
      <xdr:colOff>495300</xdr:colOff>
      <xdr:row>100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381000</xdr:colOff>
      <xdr:row>159</xdr:row>
      <xdr:rowOff>76200</xdr:rowOff>
    </xdr:from>
    <xdr:to>
      <xdr:col>18</xdr:col>
      <xdr:colOff>552450</xdr:colOff>
      <xdr:row>176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Desktop/autorecovery/UusSTREAM%20FlowModel%20RefScen20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Uus_Stream2020_1002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Desktop/autorecovery/Uus_Stream2020_mj1911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STREAM%20FlowModel%20RefScen2020%20-%20Elering%20v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.dropbox.cache/2014-01-08/UusSTREAM%20FlowModel%20RefScen205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Uus_STREAM%20FlowModel%20RefScen2030v_1002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UusSTREAM%20FlowModel%20RefScen2050_1002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Temporary%20Internet%20Files/Content.Outlook/KFZAG6VK/ENMAK_valjund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"/>
      <sheetName val="Transport50VS"/>
      <sheetName val="Transport50vana"/>
      <sheetName val="Transport50VSvana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Base</v>
          </cell>
        </row>
        <row r="9">
          <cell r="B9" t="str">
            <v>EE50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6">
          <cell r="C56">
            <v>18649.799601428123</v>
          </cell>
        </row>
      </sheetData>
      <sheetData sheetId="16">
        <row r="56">
          <cell r="Q56">
            <v>16082.217411235923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B_VS"/>
      <sheetName val="TransportB_EE"/>
      <sheetName val="Basic Information"/>
      <sheetName val="Base Year Input"/>
      <sheetName val="Kytuste_maksumus_kokku"/>
      <sheetName val="Fuel data"/>
      <sheetName val="Pcar"/>
      <sheetName val="Bus"/>
      <sheetName val="Van+Lorry"/>
      <sheetName val="Lorry eco"/>
      <sheetName val="Van eco"/>
      <sheetName val="Index"/>
      <sheetName val="Graph summary"/>
      <sheetName val="Sources"/>
    </sheetNames>
    <sheetDataSet>
      <sheetData sheetId="0">
        <row r="56">
          <cell r="E56">
            <v>0.66</v>
          </cell>
          <cell r="G56">
            <v>5.0000000000000001E-3</v>
          </cell>
          <cell r="H56">
            <v>0.05</v>
          </cell>
          <cell r="L56">
            <v>0</v>
          </cell>
          <cell r="S56">
            <v>0.63</v>
          </cell>
          <cell r="T56">
            <v>0.27850000000000008</v>
          </cell>
          <cell r="U56">
            <v>0.01</v>
          </cell>
          <cell r="V56">
            <v>0.06</v>
          </cell>
          <cell r="Z56">
            <v>0.02</v>
          </cell>
        </row>
        <row r="57">
          <cell r="F57">
            <v>0.92500000000000004</v>
          </cell>
          <cell r="J57">
            <v>0.03</v>
          </cell>
          <cell r="T57">
            <v>0.78700000000000003</v>
          </cell>
          <cell r="U57">
            <v>0.05</v>
          </cell>
          <cell r="Z57">
            <v>0.15</v>
          </cell>
        </row>
        <row r="58">
          <cell r="F58">
            <v>0.25</v>
          </cell>
          <cell r="J58">
            <v>0.05</v>
          </cell>
          <cell r="T58">
            <v>0.25</v>
          </cell>
          <cell r="X58">
            <v>0.05</v>
          </cell>
        </row>
        <row r="63">
          <cell r="F63">
            <v>0.90500000000000003</v>
          </cell>
          <cell r="J63">
            <v>0.08</v>
          </cell>
          <cell r="T63">
            <v>0.87</v>
          </cell>
          <cell r="Z63">
            <v>0.05</v>
          </cell>
        </row>
        <row r="64">
          <cell r="T64">
            <v>0.9</v>
          </cell>
          <cell r="X64">
            <v>0.1</v>
          </cell>
        </row>
        <row r="66">
          <cell r="F66">
            <v>1</v>
          </cell>
        </row>
      </sheetData>
      <sheetData sheetId="1">
        <row r="56">
          <cell r="S56">
            <v>0.6</v>
          </cell>
          <cell r="T56">
            <v>0.255</v>
          </cell>
          <cell r="U56">
            <v>0.03</v>
          </cell>
          <cell r="V56">
            <v>0.06</v>
          </cell>
          <cell r="Z56">
            <v>0.05</v>
          </cell>
        </row>
        <row r="57">
          <cell r="T57">
            <v>0.78500000000000003</v>
          </cell>
          <cell r="Z57">
            <v>0.15</v>
          </cell>
        </row>
        <row r="58">
          <cell r="T58">
            <v>0.27</v>
          </cell>
          <cell r="X58">
            <v>0.03</v>
          </cell>
        </row>
        <row r="63">
          <cell r="T63">
            <v>0.88</v>
          </cell>
          <cell r="Z63">
            <v>0.08</v>
          </cell>
        </row>
        <row r="64">
          <cell r="T64">
            <v>0.9</v>
          </cell>
          <cell r="X64">
            <v>0.1</v>
          </cell>
        </row>
      </sheetData>
      <sheetData sheetId="2">
        <row r="7">
          <cell r="B7" t="str">
            <v>Base</v>
          </cell>
          <cell r="C7">
            <v>2010</v>
          </cell>
        </row>
        <row r="8">
          <cell r="B8" t="str">
            <v>BAU20</v>
          </cell>
          <cell r="C8">
            <v>2020</v>
          </cell>
        </row>
        <row r="9">
          <cell r="B9" t="str">
            <v>EE20</v>
          </cell>
          <cell r="C9">
            <v>2020</v>
          </cell>
        </row>
        <row r="32">
          <cell r="C32">
            <v>0.05</v>
          </cell>
        </row>
        <row r="33">
          <cell r="C33">
            <v>7.45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B_VS"/>
      <sheetName val="TransportB_EE"/>
      <sheetName val="Kytuste_maksumus_kokku"/>
      <sheetName val="Fuel data"/>
      <sheetName val="Pcar"/>
      <sheetName val="Bus"/>
      <sheetName val="Van+Lorry"/>
      <sheetName val="Lorry eco"/>
      <sheetName val="Van eco"/>
      <sheetName val="Base Year Input"/>
      <sheetName val="Index"/>
      <sheetName val="Graph summary"/>
      <sheetName val="Basic Information"/>
      <sheetName val="Sources"/>
    </sheetNames>
    <sheetDataSet>
      <sheetData sheetId="0">
        <row r="56">
          <cell r="E56">
            <v>0.66</v>
          </cell>
        </row>
      </sheetData>
      <sheetData sheetId="1">
        <row r="56">
          <cell r="C56">
            <v>22705.731822954396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Base</v>
          </cell>
          <cell r="C7">
            <v>2010</v>
          </cell>
        </row>
        <row r="8">
          <cell r="B8" t="str">
            <v>BAU20</v>
          </cell>
          <cell r="C8">
            <v>2020</v>
          </cell>
        </row>
        <row r="9">
          <cell r="B9" t="str">
            <v>EE20</v>
          </cell>
          <cell r="C9">
            <v>2020</v>
          </cell>
        </row>
        <row r="32">
          <cell r="C32">
            <v>0.05</v>
          </cell>
        </row>
        <row r="33">
          <cell r="C33">
            <v>7.45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  <sheetName val="STREAM FlowModel RefScen2020 - "/>
    </sheetNames>
    <sheetDataSet>
      <sheetData sheetId="0"/>
      <sheetData sheetId="1"/>
      <sheetData sheetId="2"/>
      <sheetData sheetId="3"/>
      <sheetData sheetId="4">
        <row r="8">
          <cell r="B8" t="str">
            <v>BAU20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"/>
      <sheetName val="Transport50VS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  <sheetName val="Transport50vana"/>
      <sheetName val="Transport50VSvana"/>
    </sheetNames>
    <sheetDataSet>
      <sheetData sheetId="0"/>
      <sheetData sheetId="1"/>
      <sheetData sheetId="2"/>
      <sheetData sheetId="3"/>
      <sheetData sheetId="4">
        <row r="9">
          <cell r="B9" t="str">
            <v>EE50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C56">
            <v>18649.799601428123</v>
          </cell>
        </row>
      </sheetData>
      <sheetData sheetId="16">
        <row r="56">
          <cell r="Q56">
            <v>16082.217411235923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30B_VS"/>
      <sheetName val="Transport30B_EE"/>
      <sheetName val="Kytuste_hind_maksud2030"/>
      <sheetName val="Fuel data"/>
      <sheetName val="Pcar"/>
      <sheetName val="Bus"/>
      <sheetName val="Van+Lorry"/>
      <sheetName val="Lorry eco"/>
      <sheetName val="Van eco"/>
      <sheetName val="Transport30B_VSvanem"/>
      <sheetName val="Transport30B_vanem"/>
      <sheetName val="Base Year Input"/>
      <sheetName val="Index"/>
      <sheetName val="Graph summary"/>
      <sheetName val="Basic Information"/>
      <sheetName val="Sources"/>
    </sheetNames>
    <sheetDataSet>
      <sheetData sheetId="0">
        <row r="56">
          <cell r="E56">
            <v>0.6</v>
          </cell>
          <cell r="F56">
            <v>0.27</v>
          </cell>
          <cell r="G56">
            <v>0.03</v>
          </cell>
          <cell r="H56">
            <v>0.05</v>
          </cell>
          <cell r="J56">
            <v>0.04</v>
          </cell>
          <cell r="L56">
            <v>0</v>
          </cell>
          <cell r="S56">
            <v>0.5</v>
          </cell>
          <cell r="T56">
            <v>0.29500000000000004</v>
          </cell>
          <cell r="U56">
            <v>0.05</v>
          </cell>
          <cell r="V56">
            <v>0.05</v>
          </cell>
          <cell r="Z56">
            <v>0.09</v>
          </cell>
        </row>
        <row r="57">
          <cell r="F57">
            <v>0.77999999999999992</v>
          </cell>
          <cell r="G57">
            <v>0.1</v>
          </cell>
          <cell r="J57">
            <v>7.0000000000000007E-2</v>
          </cell>
          <cell r="L57">
            <v>0</v>
          </cell>
          <cell r="T57">
            <v>0.48000000000000009</v>
          </cell>
          <cell r="U57">
            <v>0.05</v>
          </cell>
          <cell r="Z57">
            <v>0.35</v>
          </cell>
        </row>
        <row r="58">
          <cell r="F58">
            <v>0.22999999999999998</v>
          </cell>
          <cell r="J58">
            <v>0.02</v>
          </cell>
          <cell r="T58">
            <v>9.9999999999999978E-2</v>
          </cell>
          <cell r="X58">
            <v>0.15</v>
          </cell>
        </row>
        <row r="63">
          <cell r="F63">
            <v>0.87</v>
          </cell>
          <cell r="G63">
            <v>0.03</v>
          </cell>
          <cell r="J63">
            <v>0.09</v>
          </cell>
          <cell r="L63">
            <v>0</v>
          </cell>
          <cell r="T63">
            <v>0.73499999999999999</v>
          </cell>
          <cell r="U63">
            <v>0.1</v>
          </cell>
          <cell r="Z63">
            <v>0.15</v>
          </cell>
        </row>
        <row r="64">
          <cell r="F64">
            <v>0.9</v>
          </cell>
          <cell r="J64">
            <v>0.1</v>
          </cell>
          <cell r="T64">
            <v>0.85</v>
          </cell>
        </row>
      </sheetData>
      <sheetData sheetId="1">
        <row r="56">
          <cell r="C56">
            <v>23842.671263150874</v>
          </cell>
          <cell r="S56">
            <v>0.3</v>
          </cell>
          <cell r="T56">
            <v>0.22999999999999998</v>
          </cell>
          <cell r="U56">
            <v>0.1</v>
          </cell>
          <cell r="V56">
            <v>0.1</v>
          </cell>
          <cell r="Z56">
            <v>0.2</v>
          </cell>
        </row>
        <row r="57">
          <cell r="T57">
            <v>0.40000000000000008</v>
          </cell>
          <cell r="U57">
            <v>0.05</v>
          </cell>
          <cell r="Z57">
            <v>0.35</v>
          </cell>
        </row>
        <row r="58">
          <cell r="T58">
            <v>0.19999999999999996</v>
          </cell>
        </row>
        <row r="63">
          <cell r="T63">
            <v>0.64999999999999991</v>
          </cell>
          <cell r="U63">
            <v>0.1</v>
          </cell>
          <cell r="Z63">
            <v>0.2</v>
          </cell>
        </row>
        <row r="64">
          <cell r="T64">
            <v>0.85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Base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B_EE"/>
      <sheetName val="Transport50VS"/>
      <sheetName val="Transport50vana"/>
      <sheetName val="Transport50VSvana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</sheetNames>
    <sheetDataSet>
      <sheetData sheetId="0"/>
      <sheetData sheetId="1"/>
      <sheetData sheetId="2"/>
      <sheetData sheetId="3"/>
      <sheetData sheetId="4">
        <row r="7">
          <cell r="B7" t="str">
            <v>Base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C56">
            <v>18649.799601428127</v>
          </cell>
          <cell r="E56">
            <v>0.49</v>
          </cell>
          <cell r="F56">
            <v>0.33999999999999997</v>
          </cell>
          <cell r="G56">
            <v>0.04</v>
          </cell>
          <cell r="H56">
            <v>0.05</v>
          </cell>
          <cell r="J56">
            <v>0.03</v>
          </cell>
          <cell r="L56">
            <v>0</v>
          </cell>
          <cell r="S56">
            <v>0.17</v>
          </cell>
          <cell r="T56">
            <v>0.17999999999999994</v>
          </cell>
          <cell r="U56">
            <v>0.1</v>
          </cell>
          <cell r="V56">
            <v>0.05</v>
          </cell>
          <cell r="Z56">
            <v>0.25</v>
          </cell>
        </row>
        <row r="57">
          <cell r="F57">
            <v>0.73</v>
          </cell>
          <cell r="G57">
            <v>0.1</v>
          </cell>
          <cell r="J57">
            <v>7.0000000000000007E-2</v>
          </cell>
          <cell r="L57">
            <v>0</v>
          </cell>
          <cell r="T57">
            <v>0</v>
          </cell>
          <cell r="U57">
            <v>0.2</v>
          </cell>
          <cell r="Z57">
            <v>0.45</v>
          </cell>
        </row>
        <row r="58">
          <cell r="F58">
            <v>9.9999999999999978E-2</v>
          </cell>
          <cell r="T58">
            <v>0</v>
          </cell>
        </row>
        <row r="63">
          <cell r="F63">
            <v>0.85</v>
          </cell>
          <cell r="G63">
            <v>0.05</v>
          </cell>
          <cell r="J63">
            <v>0.08</v>
          </cell>
          <cell r="L63">
            <v>0</v>
          </cell>
          <cell r="T63">
            <v>0.5</v>
          </cell>
          <cell r="U63">
            <v>0.1</v>
          </cell>
          <cell r="Z63">
            <v>0.3</v>
          </cell>
        </row>
        <row r="64">
          <cell r="F64">
            <v>0.7</v>
          </cell>
          <cell r="T64">
            <v>0.19999999999999996</v>
          </cell>
        </row>
      </sheetData>
      <sheetData sheetId="16">
        <row r="56">
          <cell r="Q56">
            <v>16082.217411235923</v>
          </cell>
          <cell r="S56">
            <v>0.35</v>
          </cell>
          <cell r="T56">
            <v>0.35000000000000003</v>
          </cell>
          <cell r="U56">
            <v>0.06</v>
          </cell>
          <cell r="V56">
            <v>0.04</v>
          </cell>
          <cell r="X56">
            <v>0</v>
          </cell>
        </row>
        <row r="57">
          <cell r="T57">
            <v>0.15000000000000002</v>
          </cell>
          <cell r="U57">
            <v>0.15</v>
          </cell>
          <cell r="X57">
            <v>0</v>
          </cell>
          <cell r="Z57">
            <v>0.45</v>
          </cell>
        </row>
        <row r="58">
          <cell r="T58">
            <v>0</v>
          </cell>
        </row>
        <row r="63">
          <cell r="T63">
            <v>0.72</v>
          </cell>
          <cell r="U63">
            <v>0.1</v>
          </cell>
          <cell r="Z63">
            <v>0.15</v>
          </cell>
        </row>
        <row r="64">
          <cell r="T64">
            <v>0.55000000000000004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BAU"/>
      <sheetName val="VS_TAK"/>
      <sheetName val="TransportEE"/>
      <sheetName val="aruandesse"/>
      <sheetName val="Jooniseks_AastaKeskmine"/>
      <sheetName val="tbl_joonised_aruandesse"/>
      <sheetName val="TAK-BAU"/>
      <sheetName val="EE-BAU"/>
      <sheetName val="Meetmed_maksumustega2020"/>
      <sheetName val="Meetmed_maksumustega_2030"/>
      <sheetName val="Meetmete_kulud_tuludaruande (2)"/>
      <sheetName val="Aruandesse2020_maksumus"/>
      <sheetName val="Esitlusse_maksumus"/>
      <sheetName val="Esitlusse"/>
      <sheetName val="Transpordi_kytused_maksud2020"/>
      <sheetName val="Kytuste_hind_maksud2030"/>
      <sheetName val="Kytused2050"/>
      <sheetName val="BAU"/>
      <sheetName val="TAK"/>
      <sheetName val="EE"/>
      <sheetName val="TJ_kytusehinnad"/>
      <sheetName val="STREAM"/>
      <sheetName val="Autod"/>
      <sheetName val="Raudtee"/>
      <sheetName val="kl tervisemõju"/>
      <sheetName val="CO2valiskulu"/>
    </sheetNames>
    <sheetDataSet>
      <sheetData sheetId="0">
        <row r="14">
          <cell r="D14">
            <v>2248000</v>
          </cell>
          <cell r="E14">
            <v>2394646.6779310168</v>
          </cell>
          <cell r="J14">
            <v>2653907.2548743365</v>
          </cell>
          <cell r="O14">
            <v>2816614.7185939001</v>
          </cell>
          <cell r="T14">
            <v>3087233.270393461</v>
          </cell>
          <cell r="V14">
            <v>2788935.0459882622</v>
          </cell>
          <cell r="X14">
            <v>2490636.8215830633</v>
          </cell>
        </row>
      </sheetData>
      <sheetData sheetId="1">
        <row r="14">
          <cell r="D14">
            <v>2248000</v>
          </cell>
          <cell r="E14">
            <v>2215366.2714910498</v>
          </cell>
          <cell r="J14">
            <v>2295346.4419944016</v>
          </cell>
          <cell r="O14">
            <v>2327318.0008590966</v>
          </cell>
          <cell r="T14">
            <v>2359289.5597237912</v>
          </cell>
          <cell r="V14">
            <v>2125835.9434233787</v>
          </cell>
          <cell r="X14">
            <v>1892382.3271229663</v>
          </cell>
        </row>
      </sheetData>
      <sheetData sheetId="2">
        <row r="14">
          <cell r="D14">
            <v>2248000</v>
          </cell>
          <cell r="E14">
            <v>2196370.4249105351</v>
          </cell>
          <cell r="J14">
            <v>1986918.7766279592</v>
          </cell>
          <cell r="O14">
            <v>1710274.5441133208</v>
          </cell>
          <cell r="T14">
            <v>1433630.3115986825</v>
          </cell>
          <cell r="V14">
            <v>982257.6511180012</v>
          </cell>
          <cell r="X14">
            <v>530884.99063731998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bl.nl/sites/default/files/cms/publicaties/pbl-2013-non-ets-emission-targets-for-2030-1192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bl.nl/sites/default/files/cms/publicaties/pbl-2013-non-ets-emission-targets-for-2030-1192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W267"/>
  <sheetViews>
    <sheetView tabSelected="1" zoomScaleNormal="100" workbookViewId="0">
      <selection activeCell="F4" sqref="F4"/>
    </sheetView>
  </sheetViews>
  <sheetFormatPr defaultColWidth="9.109375" defaultRowHeight="13.2" x14ac:dyDescent="0.25"/>
  <cols>
    <col min="1" max="1" width="30.5546875" style="52" customWidth="1"/>
    <col min="2" max="4" width="9.5546875" style="52" bestFit="1" customWidth="1"/>
    <col min="5" max="5" width="11.109375" style="52" customWidth="1"/>
    <col min="6" max="6" width="9.88671875" style="52" customWidth="1"/>
    <col min="7" max="7" width="9.33203125" style="52" bestFit="1" customWidth="1"/>
    <col min="8" max="8" width="12.109375" style="52" customWidth="1"/>
    <col min="9" max="10" width="9.109375" style="52"/>
    <col min="11" max="11" width="4.33203125" style="52" customWidth="1"/>
    <col min="12" max="14" width="9.109375" style="52"/>
    <col min="15" max="15" width="12.33203125" style="52" bestFit="1" customWidth="1"/>
    <col min="16" max="16384" width="9.109375" style="52"/>
  </cols>
  <sheetData>
    <row r="1" spans="1:49" x14ac:dyDescent="0.25">
      <c r="A1" s="52" t="s">
        <v>89</v>
      </c>
    </row>
    <row r="2" spans="1:49" x14ac:dyDescent="0.25">
      <c r="A2" s="52" t="s">
        <v>99</v>
      </c>
    </row>
    <row r="3" spans="1:49" x14ac:dyDescent="0.25">
      <c r="A3" s="52" t="s">
        <v>100</v>
      </c>
    </row>
    <row r="6" spans="1:49" x14ac:dyDescent="0.25">
      <c r="A6" s="52" t="s">
        <v>96</v>
      </c>
    </row>
    <row r="7" spans="1:49" s="162" customFormat="1" ht="13.8" thickBot="1" x14ac:dyDescent="0.3"/>
    <row r="8" spans="1:49" s="162" customFormat="1" x14ac:dyDescent="0.25">
      <c r="G8" s="153" t="s">
        <v>42</v>
      </c>
      <c r="H8" s="154"/>
      <c r="I8" s="154"/>
      <c r="J8" s="155"/>
      <c r="K8" s="156"/>
      <c r="L8" s="156" t="s">
        <v>42</v>
      </c>
      <c r="M8" s="154"/>
      <c r="N8" s="154"/>
      <c r="O8" s="157"/>
    </row>
    <row r="9" spans="1:49" ht="13.8" thickBot="1" x14ac:dyDescent="0.3">
      <c r="A9" s="52" t="s">
        <v>66</v>
      </c>
      <c r="G9" s="198" t="s">
        <v>48</v>
      </c>
      <c r="H9" s="112"/>
      <c r="I9" s="112"/>
      <c r="J9" s="199"/>
      <c r="K9" s="112"/>
      <c r="L9" s="265" t="s">
        <v>65</v>
      </c>
      <c r="M9" s="265"/>
      <c r="N9" s="266"/>
      <c r="O9" s="124"/>
    </row>
    <row r="10" spans="1:49" s="108" customFormat="1" ht="13.8" thickBot="1" x14ac:dyDescent="0.3">
      <c r="A10" s="106" t="s">
        <v>64</v>
      </c>
      <c r="B10" s="107">
        <v>2010</v>
      </c>
      <c r="C10" s="107">
        <v>2020</v>
      </c>
      <c r="D10" s="107">
        <v>2030</v>
      </c>
      <c r="E10" s="108">
        <v>2050</v>
      </c>
      <c r="G10" s="106">
        <v>2010</v>
      </c>
      <c r="H10" s="107">
        <v>2020</v>
      </c>
      <c r="I10" s="114">
        <v>2030</v>
      </c>
      <c r="J10" s="137">
        <v>2050</v>
      </c>
      <c r="L10" s="107">
        <v>2011</v>
      </c>
      <c r="M10" s="107">
        <v>2020</v>
      </c>
      <c r="N10" s="114">
        <v>2030</v>
      </c>
      <c r="O10" s="123">
        <v>2050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</row>
    <row r="11" spans="1:49" x14ac:dyDescent="0.25">
      <c r="A11" s="73" t="s">
        <v>63</v>
      </c>
      <c r="B11" s="73"/>
      <c r="C11" s="160">
        <v>0.33</v>
      </c>
      <c r="D11" s="261">
        <f>0.38/3</f>
        <v>0.12666666666666668</v>
      </c>
      <c r="E11" s="182">
        <f t="shared" ref="E11:E18" si="0">D11*$D$19</f>
        <v>9.5000000000000001E-2</v>
      </c>
      <c r="G11" s="75"/>
      <c r="H11" s="74">
        <f>[2]TransportB_VS!$E$56+[2]TransportB_VS!$G$56+[2]TransportB_VS!$H$56+[2]TransportB_VS!$L$56</f>
        <v>0.71500000000000008</v>
      </c>
      <c r="I11" s="132">
        <f>[6]Transport30B_VS!$E$56+[6]Transport30B_VS!$G$56+[6]Transport30B_VS!$H$56+[6]Transport30B_VS!$L$56</f>
        <v>0.68</v>
      </c>
      <c r="J11" s="142">
        <f>[7]TransportB_EE!$E$56+[7]TransportB_EE!$G$56+[7]TransportB_EE!$H$56+[7]TransportB_EE!$L$56</f>
        <v>0.58000000000000007</v>
      </c>
      <c r="K11" s="64"/>
      <c r="L11" s="73"/>
      <c r="M11" s="72">
        <f>C11*Labisoit!$H$7*H11</f>
        <v>1879.4960553899193</v>
      </c>
      <c r="N11" s="115">
        <f>D11*Labisoit!$H$35*I11</f>
        <v>787.7348351830974</v>
      </c>
      <c r="O11" s="115">
        <f>E11*Labisoit!$H$64*J11</f>
        <v>555.99499116830077</v>
      </c>
    </row>
    <row r="12" spans="1:49" x14ac:dyDescent="0.25">
      <c r="A12" s="67" t="s">
        <v>56</v>
      </c>
      <c r="B12" s="67"/>
      <c r="C12" s="160">
        <v>0.53</v>
      </c>
      <c r="D12" s="160">
        <v>0.2</v>
      </c>
      <c r="E12" s="182">
        <f t="shared" si="0"/>
        <v>0.15000000000000002</v>
      </c>
      <c r="G12" s="69"/>
      <c r="H12" s="68">
        <f>100%-H11</f>
        <v>0.28499999999999992</v>
      </c>
      <c r="I12" s="133">
        <f>[6]Transport30B_VS!$F$56+[6]Transport30B_VS!$J$56</f>
        <v>0.31</v>
      </c>
      <c r="J12" s="142">
        <f>[7]TransportB_EE!$F$56+[7]TransportB_EE!$J$56</f>
        <v>0.37</v>
      </c>
      <c r="K12" s="64"/>
      <c r="L12" s="67"/>
      <c r="M12" s="72">
        <f>C12*Labisoit!$H$7*H12</f>
        <v>1203.2120329164959</v>
      </c>
      <c r="N12" s="115">
        <f>D12*Labisoit!$H$35*I12</f>
        <v>567.02275287947407</v>
      </c>
      <c r="O12" s="115">
        <f>E12*Labisoit!$H$64*J12</f>
        <v>560.03125244719956</v>
      </c>
    </row>
    <row r="13" spans="1:49" x14ac:dyDescent="0.25">
      <c r="A13" s="67" t="s">
        <v>62</v>
      </c>
      <c r="B13" s="67"/>
      <c r="C13" s="160">
        <v>7.1</v>
      </c>
      <c r="D13" s="160">
        <f>C13/2</f>
        <v>3.55</v>
      </c>
      <c r="E13" s="182">
        <f t="shared" si="0"/>
        <v>2.6624999999999996</v>
      </c>
      <c r="G13" s="69"/>
      <c r="H13" s="68">
        <f>[2]TransportB_VS!$F$57+[2]TransportB_VS!$J$57-1%</f>
        <v>0.94500000000000006</v>
      </c>
      <c r="I13" s="133">
        <f>[6]Transport30B_VS!$F$57+[6]Transport30B_VS!$J$57</f>
        <v>0.84999999999999987</v>
      </c>
      <c r="J13" s="143">
        <f>[7]TransportB_EE!$F$57+[7]TransportB_EE!$J$57</f>
        <v>0.8</v>
      </c>
      <c r="K13" s="64"/>
      <c r="L13" s="67"/>
      <c r="M13" s="71">
        <f>C13*Labisoit!$H$8*'Ohusaaste (joonised)'!H13</f>
        <v>693.90665476886727</v>
      </c>
      <c r="N13" s="116">
        <f>D13*Labisoit!$H$36*'Ohusaaste (joonised)'!I13</f>
        <v>296.68845850399072</v>
      </c>
      <c r="O13" s="115">
        <f>E13*Labisoit!$H$65*J13</f>
        <v>220.28782691075151</v>
      </c>
    </row>
    <row r="14" spans="1:49" x14ac:dyDescent="0.25">
      <c r="A14" s="67" t="s">
        <v>61</v>
      </c>
      <c r="B14" s="67"/>
      <c r="C14" s="160">
        <v>2.1</v>
      </c>
      <c r="D14" s="160">
        <v>0.7</v>
      </c>
      <c r="E14" s="182">
        <f t="shared" si="0"/>
        <v>0.52499999999999991</v>
      </c>
      <c r="G14" s="69"/>
      <c r="H14" s="68">
        <f>100%-H13</f>
        <v>5.4999999999999938E-2</v>
      </c>
      <c r="I14" s="68">
        <f>[6]Transport30B_VS!$L$57+[6]Transport30B_VS!$G$57</f>
        <v>0.1</v>
      </c>
      <c r="J14" s="145">
        <f>[7]TransportB_EE!$G$57</f>
        <v>0.1</v>
      </c>
      <c r="K14" s="64"/>
      <c r="L14" s="67"/>
      <c r="M14" s="71">
        <f>C14*Labisoit!$H$8*'Ohusaaste (joonised)'!H14</f>
        <v>11.945184980371724</v>
      </c>
      <c r="N14" s="116">
        <f>D14*Labisoit!$H$36*'Ohusaaste (joonised)'!I14</f>
        <v>6.8825823016667291</v>
      </c>
      <c r="O14" s="115">
        <f>E14*Labisoit!$H$65*J14</f>
        <v>5.429629536532607</v>
      </c>
    </row>
    <row r="15" spans="1:49" x14ac:dyDescent="0.25">
      <c r="A15" s="67" t="s">
        <v>60</v>
      </c>
      <c r="B15" s="67"/>
      <c r="C15" s="160">
        <v>0.7</v>
      </c>
      <c r="D15" s="175">
        <f>C15/2</f>
        <v>0.35</v>
      </c>
      <c r="E15" s="182">
        <f t="shared" si="0"/>
        <v>0.26249999999999996</v>
      </c>
      <c r="G15" s="69"/>
      <c r="H15" s="68">
        <f>[2]TransportB_VS!$F$63+[2]TransportB_VS!$J$63</f>
        <v>0.98499999999999999</v>
      </c>
      <c r="I15" s="68">
        <f>[6]Transport30B_VS!$F$63+[6]Transport30B_VS!$J$63</f>
        <v>0.96</v>
      </c>
      <c r="J15" s="145">
        <f>[7]TransportB_EE!$F$63+[7]TransportB_EE!$J$63</f>
        <v>0.92999999999999994</v>
      </c>
      <c r="K15" s="64"/>
      <c r="L15" s="67"/>
      <c r="M15" s="71">
        <f>C15*Labisoit!$C$21*'Ohusaaste (joonised)'!H15</f>
        <v>4958.3057074647304</v>
      </c>
      <c r="N15" s="116">
        <f>D15*Labisoit!$C$50*'Ohusaaste (joonised)'!I15</f>
        <v>2999.0619996514188</v>
      </c>
      <c r="O15" s="115">
        <f>E15*Labisoit!$C$79*J15</f>
        <v>2317.4592927669873</v>
      </c>
    </row>
    <row r="16" spans="1:49" x14ac:dyDescent="0.25">
      <c r="A16" s="67" t="s">
        <v>46</v>
      </c>
      <c r="B16" s="67"/>
      <c r="C16" s="160">
        <v>0.25</v>
      </c>
      <c r="D16" s="175">
        <f>C16/2</f>
        <v>0.125</v>
      </c>
      <c r="E16" s="182">
        <f t="shared" si="0"/>
        <v>9.375E-2</v>
      </c>
      <c r="G16" s="69"/>
      <c r="H16" s="68">
        <f>100%-H15</f>
        <v>1.5000000000000013E-2</v>
      </c>
      <c r="I16" s="68">
        <f>[6]Transport30B_VS!$G$63+[6]Transport30B_VS!$L$63</f>
        <v>0.03</v>
      </c>
      <c r="J16" s="145">
        <f>[7]TransportB_EE!$G$63</f>
        <v>0.05</v>
      </c>
      <c r="K16" s="64"/>
      <c r="L16" s="67"/>
      <c r="M16" s="71">
        <f>C16*Labisoit!$C$21*'Ohusaaste (joonised)'!H16</f>
        <v>26.966854826675501</v>
      </c>
      <c r="N16" s="116">
        <f>D16*Labisoit!$C$50*'Ohusaaste (joonised)'!I16</f>
        <v>33.471674103252447</v>
      </c>
      <c r="O16" s="115">
        <f>E16*Labisoit!$C$79*J16</f>
        <v>44.498066297369206</v>
      </c>
    </row>
    <row r="17" spans="1:49" x14ac:dyDescent="0.25">
      <c r="A17" s="67" t="s">
        <v>59</v>
      </c>
      <c r="B17" s="67"/>
      <c r="C17" s="160">
        <v>0.2</v>
      </c>
      <c r="D17" s="160">
        <v>0.2</v>
      </c>
      <c r="E17" s="182">
        <f t="shared" si="0"/>
        <v>0.15000000000000002</v>
      </c>
      <c r="G17" s="69"/>
      <c r="H17" s="146">
        <f>[2]TransportB_VS!$F$58+[2]TransportB_VS!$J$58</f>
        <v>0.3</v>
      </c>
      <c r="I17" s="146">
        <f>[6]Transport30B_VS!$F$58+[6]Transport30B_VS!$J$58</f>
        <v>0.24999999999999997</v>
      </c>
      <c r="J17" s="128">
        <f>[7]TransportB_EE!$F$58</f>
        <v>9.9999999999999978E-2</v>
      </c>
      <c r="K17" s="64"/>
      <c r="L17" s="67"/>
      <c r="M17" s="92">
        <f>C17*Labisoit!$C$9*H17</f>
        <v>38.658871975644928</v>
      </c>
      <c r="N17" s="92">
        <f>D17*Labisoit!$C$37*I17</f>
        <v>35.753674294372615</v>
      </c>
      <c r="O17" s="115">
        <f>E17*Labisoit!$C$66*J17</f>
        <v>11.758169395652386</v>
      </c>
    </row>
    <row r="18" spans="1:49" ht="13.8" thickBot="1" x14ac:dyDescent="0.3">
      <c r="A18" s="63" t="s">
        <v>58</v>
      </c>
      <c r="B18" s="63"/>
      <c r="C18" s="160">
        <f>0.64*0.5</f>
        <v>0.32</v>
      </c>
      <c r="D18" s="160">
        <f>0.64*0.5*0.33</f>
        <v>0.10560000000000001</v>
      </c>
      <c r="E18" s="182">
        <f t="shared" si="0"/>
        <v>7.9200000000000007E-2</v>
      </c>
      <c r="G18" s="66"/>
      <c r="H18" s="65">
        <f>[2]TransportB_VS!$F$66</f>
        <v>1</v>
      </c>
      <c r="I18" s="134">
        <f>[6]Transport30B_VS!$F$64+[6]Transport30B_VS!$J$64</f>
        <v>1</v>
      </c>
      <c r="J18" s="144">
        <f>[7]TransportB_EE!$F$64</f>
        <v>0.7</v>
      </c>
      <c r="K18" s="64"/>
      <c r="L18" s="63"/>
      <c r="M18" s="62">
        <f>C18*Labisoit!$C$22*'Ohusaaste (joonised)'!H18</f>
        <v>2124.1584109627452</v>
      </c>
      <c r="N18" s="117">
        <f>D18*Labisoit!$C$51*'Ohusaaste (joonised)'!I18</f>
        <v>711.05580242361975</v>
      </c>
      <c r="O18" s="115">
        <f>E18*Labisoit!$C$80*J18</f>
        <v>397.02392592327254</v>
      </c>
    </row>
    <row r="19" spans="1:49" s="57" customFormat="1" ht="13.8" thickBot="1" x14ac:dyDescent="0.3">
      <c r="B19" s="60"/>
      <c r="C19" s="60"/>
      <c r="D19" s="52">
        <v>0.75</v>
      </c>
      <c r="E19" s="176" t="s">
        <v>87</v>
      </c>
      <c r="G19" s="61"/>
      <c r="H19" s="60"/>
      <c r="I19" s="135" t="s">
        <v>50</v>
      </c>
      <c r="J19" s="138"/>
      <c r="L19" s="60">
        <v>11547</v>
      </c>
      <c r="M19" s="58">
        <f>SUM(M11:M18)</f>
        <v>10936.649773285453</v>
      </c>
      <c r="N19" s="118">
        <f>SUM(N11:N18)</f>
        <v>5437.6717793408925</v>
      </c>
      <c r="O19" s="118">
        <f>SUM(O11:O18)</f>
        <v>4112.4831544460658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</row>
    <row r="20" spans="1:49" s="109" customFormat="1" ht="13.8" thickBot="1" x14ac:dyDescent="0.3">
      <c r="A20" s="110"/>
      <c r="B20" s="110"/>
      <c r="C20" s="110"/>
      <c r="D20" s="110"/>
      <c r="G20" s="111"/>
      <c r="H20" s="110"/>
      <c r="I20" s="136"/>
      <c r="J20" s="139"/>
      <c r="K20" s="112"/>
      <c r="L20" s="262" t="s">
        <v>101</v>
      </c>
      <c r="M20" s="263"/>
      <c r="N20" s="263"/>
      <c r="O20" s="124"/>
    </row>
    <row r="21" spans="1:49" s="108" customFormat="1" ht="13.8" thickBot="1" x14ac:dyDescent="0.3">
      <c r="A21" s="106" t="s">
        <v>102</v>
      </c>
      <c r="B21" s="107">
        <v>2010</v>
      </c>
      <c r="C21" s="107">
        <v>2020</v>
      </c>
      <c r="D21" s="107">
        <v>2030</v>
      </c>
      <c r="E21" s="108">
        <v>2050</v>
      </c>
      <c r="G21" s="106">
        <v>2010</v>
      </c>
      <c r="H21" s="107">
        <v>2020</v>
      </c>
      <c r="I21" s="114">
        <v>2030</v>
      </c>
      <c r="J21" s="137">
        <v>2050</v>
      </c>
      <c r="L21" s="107">
        <v>2011</v>
      </c>
      <c r="M21" s="107">
        <v>2020</v>
      </c>
      <c r="N21" s="114">
        <v>2030</v>
      </c>
      <c r="O21" s="123">
        <v>2050</v>
      </c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</row>
    <row r="22" spans="1:49" x14ac:dyDescent="0.25">
      <c r="A22" s="73" t="s">
        <v>57</v>
      </c>
      <c r="B22" s="73"/>
      <c r="C22" s="160">
        <v>3.3E-3</v>
      </c>
      <c r="D22" s="160">
        <v>2E-3</v>
      </c>
      <c r="E22" s="184">
        <f t="shared" ref="E22:E29" si="1">D22*$D$19</f>
        <v>1.5E-3</v>
      </c>
      <c r="G22" s="75"/>
      <c r="H22" s="74">
        <f t="shared" ref="H22:J29" si="2">H11</f>
        <v>0.71500000000000008</v>
      </c>
      <c r="I22" s="132">
        <f t="shared" si="2"/>
        <v>0.68</v>
      </c>
      <c r="J22" s="142">
        <f>J11</f>
        <v>0.58000000000000007</v>
      </c>
      <c r="K22" s="64"/>
      <c r="L22" s="73"/>
      <c r="M22" s="72">
        <f>C22*Labisoit!$H$7*H22</f>
        <v>18.794960553899191</v>
      </c>
      <c r="N22" s="115">
        <f>D22*Labisoit!$H$35*I22</f>
        <v>12.437918450259431</v>
      </c>
      <c r="O22" s="115">
        <f>E22*Labisoit!$H$64*J22</f>
        <v>8.7788682816047494</v>
      </c>
    </row>
    <row r="23" spans="1:49" x14ac:dyDescent="0.25">
      <c r="A23" s="67" t="s">
        <v>56</v>
      </c>
      <c r="B23" s="67"/>
      <c r="C23" s="160">
        <v>2.9000000000000001E-2</v>
      </c>
      <c r="D23" s="160">
        <v>1.4999999999999999E-2</v>
      </c>
      <c r="E23" s="184">
        <f t="shared" si="1"/>
        <v>1.125E-2</v>
      </c>
      <c r="G23" s="69"/>
      <c r="H23" s="68">
        <f t="shared" si="2"/>
        <v>0.28499999999999992</v>
      </c>
      <c r="I23" s="133">
        <f t="shared" si="2"/>
        <v>0.31</v>
      </c>
      <c r="J23" s="142">
        <f t="shared" si="2"/>
        <v>0.37</v>
      </c>
      <c r="K23" s="64"/>
      <c r="L23" s="67"/>
      <c r="M23" s="72">
        <f>C23*Labisoit!$H$7*H23</f>
        <v>65.836130102978075</v>
      </c>
      <c r="N23" s="115">
        <f>D23*Labisoit!$H$35*I23</f>
        <v>42.526706465960558</v>
      </c>
      <c r="O23" s="115">
        <f>E23*Labisoit!$H$64*J23</f>
        <v>42.002343933539954</v>
      </c>
    </row>
    <row r="24" spans="1:49" x14ac:dyDescent="0.25">
      <c r="A24" s="67" t="s">
        <v>55</v>
      </c>
      <c r="B24" s="67"/>
      <c r="C24" s="160">
        <v>0.17</v>
      </c>
      <c r="D24" s="160">
        <v>1.4999999999999999E-2</v>
      </c>
      <c r="E24" s="184">
        <f t="shared" si="1"/>
        <v>1.125E-2</v>
      </c>
      <c r="G24" s="69"/>
      <c r="H24" s="68">
        <f t="shared" si="2"/>
        <v>0.94500000000000006</v>
      </c>
      <c r="I24" s="133">
        <f t="shared" si="2"/>
        <v>0.84999999999999987</v>
      </c>
      <c r="J24" s="142">
        <f t="shared" si="2"/>
        <v>0.8</v>
      </c>
      <c r="K24" s="64"/>
      <c r="L24" s="67"/>
      <c r="M24" s="71">
        <f>C24*Labisoit!$H$8*'Ohusaaste (joonised)'!H24</f>
        <v>16.614666381789782</v>
      </c>
      <c r="N24" s="116">
        <f>D24*Labisoit!$H$36*'Ohusaaste (joonised)'!I24</f>
        <v>1.2536132049464399</v>
      </c>
      <c r="O24" s="115">
        <f>E24*Labisoit!$H$65*J24</f>
        <v>0.93079363483416133</v>
      </c>
    </row>
    <row r="25" spans="1:49" x14ac:dyDescent="0.25">
      <c r="A25" s="67" t="s">
        <v>54</v>
      </c>
      <c r="B25" s="67"/>
      <c r="C25" s="160">
        <v>8.0999999999999996E-3</v>
      </c>
      <c r="D25" s="160">
        <v>8.0999999999999996E-3</v>
      </c>
      <c r="E25" s="184">
        <f t="shared" si="1"/>
        <v>6.0749999999999997E-3</v>
      </c>
      <c r="G25" s="69"/>
      <c r="H25" s="68">
        <f t="shared" si="2"/>
        <v>5.4999999999999938E-2</v>
      </c>
      <c r="I25" s="133">
        <f t="shared" si="2"/>
        <v>0.1</v>
      </c>
      <c r="J25" s="142">
        <f t="shared" si="2"/>
        <v>0.1</v>
      </c>
      <c r="K25" s="64"/>
      <c r="L25" s="67"/>
      <c r="M25" s="71">
        <f>C25*Labisoit!$H$8*'Ohusaaste (joonised)'!H25</f>
        <v>4.6074284924290929E-2</v>
      </c>
      <c r="N25" s="116">
        <f>D25*Labisoit!$H$39*'Ohusaaste (joonised)'!I25</f>
        <v>1.4480238089220913E-2</v>
      </c>
      <c r="O25" s="115">
        <f>E25*Labisoit!$H$65*J25</f>
        <v>6.2828570351305887E-2</v>
      </c>
    </row>
    <row r="26" spans="1:49" x14ac:dyDescent="0.25">
      <c r="A26" s="67" t="s">
        <v>53</v>
      </c>
      <c r="B26" s="67"/>
      <c r="C26" s="160">
        <v>1.6E-2</v>
      </c>
      <c r="D26" s="237">
        <f>C26/3</f>
        <v>5.3333333333333332E-3</v>
      </c>
      <c r="E26" s="184">
        <f t="shared" si="1"/>
        <v>4.0000000000000001E-3</v>
      </c>
      <c r="G26" s="69"/>
      <c r="H26" s="68">
        <f t="shared" si="2"/>
        <v>0.98499999999999999</v>
      </c>
      <c r="I26" s="133">
        <f t="shared" si="2"/>
        <v>0.96</v>
      </c>
      <c r="J26" s="142">
        <f t="shared" si="2"/>
        <v>0.92999999999999994</v>
      </c>
      <c r="K26" s="64"/>
      <c r="L26" s="67"/>
      <c r="M26" s="71">
        <f>C26*Labisoit!$C$21*'Ohusaaste (joonised)'!H26</f>
        <v>113.33270188490813</v>
      </c>
      <c r="N26" s="116">
        <f>D26*Labisoit!$C$50*'Ohusaaste (joonised)'!I26</f>
        <v>45.699992375640669</v>
      </c>
      <c r="O26" s="115">
        <f>E26*Labisoit!$C$79*J26</f>
        <v>35.313665413592197</v>
      </c>
    </row>
    <row r="27" spans="1:49" x14ac:dyDescent="0.25">
      <c r="A27" s="67" t="s">
        <v>46</v>
      </c>
      <c r="B27" s="67"/>
      <c r="C27" s="160">
        <f>C26/20</f>
        <v>8.0000000000000004E-4</v>
      </c>
      <c r="D27" s="237">
        <f>C27/3</f>
        <v>2.6666666666666668E-4</v>
      </c>
      <c r="E27" s="184">
        <f t="shared" si="1"/>
        <v>2.0000000000000001E-4</v>
      </c>
      <c r="G27" s="69"/>
      <c r="H27" s="68">
        <f t="shared" si="2"/>
        <v>1.5000000000000013E-2</v>
      </c>
      <c r="I27" s="133">
        <f t="shared" si="2"/>
        <v>0.03</v>
      </c>
      <c r="J27" s="142">
        <f t="shared" si="2"/>
        <v>0.05</v>
      </c>
      <c r="K27" s="64"/>
      <c r="L27" s="67"/>
      <c r="M27" s="71">
        <f>C27*Labisoit!$C$21*'Ohusaaste (joonised)'!H27</f>
        <v>8.6293935445361611E-2</v>
      </c>
      <c r="N27" s="120">
        <f>D27*Labisoit!$C$50*'Ohusaaste (joonised)'!I27</f>
        <v>7.1406238086938564E-2</v>
      </c>
      <c r="O27" s="115">
        <f>E27*Labisoit!$C$79*J27</f>
        <v>9.4929208101054319E-2</v>
      </c>
    </row>
    <row r="28" spans="1:49" x14ac:dyDescent="0.25">
      <c r="A28" s="67" t="s">
        <v>52</v>
      </c>
      <c r="B28" s="67"/>
      <c r="C28" s="160">
        <v>2E-3</v>
      </c>
      <c r="D28" s="160">
        <v>2E-3</v>
      </c>
      <c r="E28" s="184">
        <f t="shared" si="1"/>
        <v>1.5E-3</v>
      </c>
      <c r="G28" s="69"/>
      <c r="H28" s="68">
        <f t="shared" si="2"/>
        <v>0.3</v>
      </c>
      <c r="I28" s="133">
        <f t="shared" si="2"/>
        <v>0.24999999999999997</v>
      </c>
      <c r="J28" s="142">
        <f t="shared" si="2"/>
        <v>9.9999999999999978E-2</v>
      </c>
      <c r="K28" s="64"/>
      <c r="L28" s="67"/>
      <c r="M28" s="91">
        <f>C28*Labisoit!$C$9*H28</f>
        <v>0.38658871975644926</v>
      </c>
      <c r="N28" s="91">
        <f>D28*Labisoit!$C$37*I28</f>
        <v>0.35753674294372617</v>
      </c>
      <c r="O28" s="115">
        <f>E28*Labisoit!$C$66*J28</f>
        <v>0.11758169395652386</v>
      </c>
    </row>
    <row r="29" spans="1:49" ht="13.8" thickBot="1" x14ac:dyDescent="0.3">
      <c r="A29" s="63" t="s">
        <v>51</v>
      </c>
      <c r="B29" s="63"/>
      <c r="C29" s="160">
        <v>1.2E-2</v>
      </c>
      <c r="D29" s="160">
        <v>1E-3</v>
      </c>
      <c r="E29" s="184">
        <f t="shared" si="1"/>
        <v>7.5000000000000002E-4</v>
      </c>
      <c r="G29" s="66"/>
      <c r="H29" s="68">
        <f t="shared" si="2"/>
        <v>1</v>
      </c>
      <c r="I29" s="133">
        <f t="shared" si="2"/>
        <v>1</v>
      </c>
      <c r="J29" s="142">
        <f t="shared" si="2"/>
        <v>0.7</v>
      </c>
      <c r="K29" s="64"/>
      <c r="L29" s="63"/>
      <c r="M29" s="62">
        <f>C29*Labisoit!$C$22*'Ohusaaste (joonised)'!H29</f>
        <v>79.655940411102932</v>
      </c>
      <c r="N29" s="117">
        <f>D29*Labisoit!$C$51*'Ohusaaste (joonised)'!I29</f>
        <v>6.733482977496398</v>
      </c>
      <c r="O29" s="115">
        <f>E29*Labisoit!$C$80*J29</f>
        <v>3.7596962682128079</v>
      </c>
    </row>
    <row r="30" spans="1:49" s="57" customFormat="1" ht="13.8" thickBot="1" x14ac:dyDescent="0.3">
      <c r="A30" s="90"/>
      <c r="G30" s="59"/>
      <c r="J30" s="140"/>
      <c r="L30" s="93">
        <v>499</v>
      </c>
      <c r="M30" s="58">
        <f>SUM(M22:M29)</f>
        <v>294.75335627480422</v>
      </c>
      <c r="N30" s="118">
        <f>SUM(N22:N29)</f>
        <v>109.09513669342337</v>
      </c>
      <c r="O30" s="118">
        <f>SUM(O22:O29)</f>
        <v>91.06070700419275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s="113" customFormat="1" ht="13.8" thickBot="1" x14ac:dyDescent="0.3">
      <c r="A31" s="110"/>
      <c r="B31" s="110"/>
      <c r="C31" s="110"/>
      <c r="D31" s="110"/>
      <c r="E31" s="109"/>
      <c r="F31" s="109"/>
      <c r="G31" s="111"/>
      <c r="H31" s="110"/>
      <c r="I31" s="136"/>
      <c r="J31" s="139"/>
      <c r="K31" s="112"/>
      <c r="L31" s="262" t="s">
        <v>84</v>
      </c>
      <c r="M31" s="263"/>
      <c r="N31" s="263"/>
      <c r="O31" s="12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</row>
    <row r="32" spans="1:49" s="113" customFormat="1" ht="13.8" thickBot="1" x14ac:dyDescent="0.3">
      <c r="A32" s="106" t="s">
        <v>83</v>
      </c>
      <c r="B32" s="107">
        <v>2010</v>
      </c>
      <c r="C32" s="158">
        <v>2020</v>
      </c>
      <c r="D32" s="158">
        <v>2030</v>
      </c>
      <c r="E32" s="108">
        <v>2050</v>
      </c>
      <c r="F32" s="108"/>
      <c r="G32" s="106">
        <v>2010</v>
      </c>
      <c r="H32" s="107">
        <v>2020</v>
      </c>
      <c r="I32" s="114">
        <v>2030</v>
      </c>
      <c r="J32" s="137">
        <v>2050</v>
      </c>
      <c r="K32" s="108"/>
      <c r="L32" s="107">
        <v>2011</v>
      </c>
      <c r="M32" s="107">
        <v>2020</v>
      </c>
      <c r="N32" s="114">
        <v>2030</v>
      </c>
      <c r="O32" s="123">
        <v>2050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</row>
    <row r="33" spans="1:49" s="89" customFormat="1" x14ac:dyDescent="0.25">
      <c r="A33" s="73" t="s">
        <v>57</v>
      </c>
      <c r="B33" s="73"/>
      <c r="C33" s="160">
        <v>9.3999999999999997E-4</v>
      </c>
      <c r="D33" s="160">
        <v>9.3999999999999997E-4</v>
      </c>
      <c r="E33" s="183">
        <f t="shared" ref="E33:E40" si="3">D33*$D$19</f>
        <v>7.0500000000000001E-4</v>
      </c>
      <c r="F33" s="52"/>
      <c r="G33" s="75"/>
      <c r="H33" s="74">
        <f t="shared" ref="H33:J40" si="4">H22</f>
        <v>0.71500000000000008</v>
      </c>
      <c r="I33" s="132">
        <f t="shared" si="4"/>
        <v>0.68</v>
      </c>
      <c r="J33" s="142">
        <f t="shared" si="4"/>
        <v>0.58000000000000007</v>
      </c>
      <c r="K33" s="64"/>
      <c r="L33" s="73"/>
      <c r="M33" s="72">
        <f>C33*Labisoit!$H$7*H33</f>
        <v>5.3537160365652241</v>
      </c>
      <c r="N33" s="115">
        <f>D33*Labisoit!$H$35*I33</f>
        <v>5.8458216716219322</v>
      </c>
      <c r="O33" s="115">
        <f>E33*Labisoit!$H$64*J33</f>
        <v>4.1260680923542319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</row>
    <row r="34" spans="1:49" s="89" customFormat="1" x14ac:dyDescent="0.25">
      <c r="A34" s="67" t="s">
        <v>56</v>
      </c>
      <c r="B34" s="67"/>
      <c r="C34" s="160">
        <v>1.1000000000000001E-3</v>
      </c>
      <c r="D34" s="160">
        <v>1E-3</v>
      </c>
      <c r="E34" s="183">
        <f t="shared" si="3"/>
        <v>7.5000000000000002E-4</v>
      </c>
      <c r="F34" s="52"/>
      <c r="G34" s="69"/>
      <c r="H34" s="68">
        <f t="shared" si="4"/>
        <v>0.28499999999999992</v>
      </c>
      <c r="I34" s="133">
        <f t="shared" si="4"/>
        <v>0.31</v>
      </c>
      <c r="J34" s="142">
        <f t="shared" si="4"/>
        <v>0.37</v>
      </c>
      <c r="K34" s="64"/>
      <c r="L34" s="67"/>
      <c r="M34" s="72">
        <f>C34*Labisoit!$H$7*H34</f>
        <v>2.4972325211474442</v>
      </c>
      <c r="N34" s="115">
        <f>D34*Labisoit!$H$35*I34</f>
        <v>2.8351137643973705</v>
      </c>
      <c r="O34" s="115">
        <f>E34*Labisoit!$H$64*J34</f>
        <v>2.8001562622359972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1:49" s="89" customFormat="1" x14ac:dyDescent="0.25">
      <c r="A35" s="67" t="s">
        <v>55</v>
      </c>
      <c r="B35" s="67"/>
      <c r="C35" s="160">
        <v>5.7000000000000002E-3</v>
      </c>
      <c r="D35" s="160">
        <v>5.7000000000000002E-3</v>
      </c>
      <c r="E35" s="183">
        <f t="shared" si="3"/>
        <v>4.2750000000000002E-3</v>
      </c>
      <c r="F35" s="52"/>
      <c r="G35" s="69"/>
      <c r="H35" s="68">
        <f t="shared" si="4"/>
        <v>0.94500000000000006</v>
      </c>
      <c r="I35" s="133">
        <f t="shared" si="4"/>
        <v>0.84999999999999987</v>
      </c>
      <c r="J35" s="142">
        <f t="shared" si="4"/>
        <v>0.8</v>
      </c>
      <c r="K35" s="64"/>
      <c r="L35" s="67"/>
      <c r="M35" s="71">
        <f>C35*Labisoit!$H$8*'Ohusaaste (joonised)'!H35</f>
        <v>0.55707999044824563</v>
      </c>
      <c r="N35" s="116">
        <f>D35*Labisoit!$H$39*'Ohusaaste (joonised)'!I35</f>
        <v>8.6613275978117674E-2</v>
      </c>
      <c r="O35" s="115">
        <f>E35*Labisoit!$H$65*J35</f>
        <v>0.35370158123698131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</row>
    <row r="36" spans="1:49" s="89" customFormat="1" x14ac:dyDescent="0.25">
      <c r="A36" s="67" t="s">
        <v>54</v>
      </c>
      <c r="B36" s="67"/>
      <c r="C36" s="160">
        <v>3.5E-4</v>
      </c>
      <c r="D36" s="160">
        <v>3.5E-4</v>
      </c>
      <c r="E36" s="183">
        <f t="shared" si="3"/>
        <v>2.6249999999999998E-4</v>
      </c>
      <c r="F36" s="52"/>
      <c r="G36" s="69"/>
      <c r="H36" s="68">
        <f t="shared" si="4"/>
        <v>5.4999999999999938E-2</v>
      </c>
      <c r="I36" s="133">
        <f t="shared" si="4"/>
        <v>0.1</v>
      </c>
      <c r="J36" s="142">
        <f t="shared" si="4"/>
        <v>0.1</v>
      </c>
      <c r="K36" s="64"/>
      <c r="L36" s="67"/>
      <c r="M36" s="71">
        <f>C36*Labisoit!$H$8*'Ohusaaste (joonised)'!H36</f>
        <v>1.9908641633952875E-3</v>
      </c>
      <c r="N36" s="116">
        <f>D36*Labisoit!$H$39*'Ohusaaste (joonised)'!I36</f>
        <v>6.2568930015152084E-4</v>
      </c>
      <c r="O36" s="115">
        <f>E36*Labisoit!$H$65*J36</f>
        <v>2.7148147682663042E-3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</row>
    <row r="37" spans="1:49" s="89" customFormat="1" x14ac:dyDescent="0.25">
      <c r="A37" s="67" t="s">
        <v>53</v>
      </c>
      <c r="B37" s="67"/>
      <c r="C37" s="160">
        <v>7.5000000000000002E-4</v>
      </c>
      <c r="D37" s="160">
        <v>7.3999999999999999E-4</v>
      </c>
      <c r="E37" s="183">
        <f t="shared" si="3"/>
        <v>5.5499999999999994E-4</v>
      </c>
      <c r="F37" s="52"/>
      <c r="G37" s="69"/>
      <c r="H37" s="68">
        <f t="shared" si="4"/>
        <v>0.98499999999999999</v>
      </c>
      <c r="I37" s="133">
        <f t="shared" si="4"/>
        <v>0.96</v>
      </c>
      <c r="J37" s="142">
        <f t="shared" si="4"/>
        <v>0.92999999999999994</v>
      </c>
      <c r="K37" s="64"/>
      <c r="L37" s="67"/>
      <c r="M37" s="71">
        <f>C37*Labisoit!$C$21*'Ohusaaste (joonised)'!H37</f>
        <v>5.3124704008550685</v>
      </c>
      <c r="N37" s="116">
        <f>D37*Labisoit!$C$50*'Ohusaaste (joonised)'!I37</f>
        <v>6.340873942120143</v>
      </c>
      <c r="O37" s="115">
        <f>E37*Labisoit!$C$79*J37</f>
        <v>4.8997710761359174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s="89" customFormat="1" x14ac:dyDescent="0.25">
      <c r="A38" s="67" t="s">
        <v>46</v>
      </c>
      <c r="B38" s="67"/>
      <c r="C38" s="160">
        <v>4.5000000000000003E-5</v>
      </c>
      <c r="D38" s="160">
        <v>4.5000000000000003E-5</v>
      </c>
      <c r="E38" s="183">
        <f t="shared" si="3"/>
        <v>3.375E-5</v>
      </c>
      <c r="F38" s="52"/>
      <c r="G38" s="69"/>
      <c r="H38" s="68">
        <f t="shared" si="4"/>
        <v>1.5000000000000013E-2</v>
      </c>
      <c r="I38" s="133">
        <f t="shared" si="4"/>
        <v>0.03</v>
      </c>
      <c r="J38" s="142">
        <f t="shared" si="4"/>
        <v>0.05</v>
      </c>
      <c r="K38" s="64"/>
      <c r="L38" s="67"/>
      <c r="M38" s="71">
        <f>C38*Labisoit!$C$21*'Ohusaaste (joonised)'!H38</f>
        <v>4.8540338688015904E-3</v>
      </c>
      <c r="N38" s="120">
        <f>D38*Labisoit!$C$50*'Ohusaaste (joonised)'!I38</f>
        <v>1.2049802677170882E-2</v>
      </c>
      <c r="O38" s="115">
        <f>E38*Labisoit!$C$79*J38</f>
        <v>1.6019303867052914E-2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</row>
    <row r="39" spans="1:49" s="89" customFormat="1" x14ac:dyDescent="0.25">
      <c r="A39" s="67" t="s">
        <v>52</v>
      </c>
      <c r="B39" s="67"/>
      <c r="C39" s="160">
        <v>4.8000000000000001E-4</v>
      </c>
      <c r="D39" s="160">
        <v>4.8000000000000001E-4</v>
      </c>
      <c r="E39" s="183">
        <f t="shared" si="3"/>
        <v>3.6000000000000002E-4</v>
      </c>
      <c r="F39" s="52"/>
      <c r="G39" s="69"/>
      <c r="H39" s="68">
        <f t="shared" si="4"/>
        <v>0.3</v>
      </c>
      <c r="I39" s="133">
        <f t="shared" si="4"/>
        <v>0.24999999999999997</v>
      </c>
      <c r="J39" s="142">
        <f t="shared" si="4"/>
        <v>9.9999999999999978E-2</v>
      </c>
      <c r="K39" s="64"/>
      <c r="L39" s="67"/>
      <c r="M39" s="91">
        <f>C39*Labisoit!$C$9*H39</f>
        <v>9.2781292741547824E-2</v>
      </c>
      <c r="N39" s="91">
        <f>D39*Labisoit!$C$37*I39</f>
        <v>8.5808818306494283E-2</v>
      </c>
      <c r="O39" s="115">
        <f>E39*Labisoit!$C$66*J39</f>
        <v>2.8219606549565728E-2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</row>
    <row r="40" spans="1:49" s="89" customFormat="1" ht="13.8" thickBot="1" x14ac:dyDescent="0.3">
      <c r="A40" s="63" t="s">
        <v>51</v>
      </c>
      <c r="B40" s="63"/>
      <c r="C40" s="160">
        <v>1.7000000000000001E-4</v>
      </c>
      <c r="D40" s="160">
        <v>1.7000000000000001E-4</v>
      </c>
      <c r="E40" s="183">
        <f t="shared" si="3"/>
        <v>1.2750000000000001E-4</v>
      </c>
      <c r="F40" s="52"/>
      <c r="G40" s="66"/>
      <c r="H40" s="68">
        <f t="shared" si="4"/>
        <v>1</v>
      </c>
      <c r="I40" s="133">
        <f t="shared" si="4"/>
        <v>1</v>
      </c>
      <c r="J40" s="142">
        <f t="shared" si="4"/>
        <v>0.7</v>
      </c>
      <c r="K40" s="64"/>
      <c r="L40" s="63"/>
      <c r="M40" s="62">
        <f>C40*Labisoit!$C$22*'Ohusaaste (joonised)'!H40</f>
        <v>1.1284591558239583</v>
      </c>
      <c r="N40" s="117">
        <f>D40*Labisoit!$C$51*'Ohusaaste (joonised)'!I40</f>
        <v>1.1446921061743878</v>
      </c>
      <c r="O40" s="115">
        <f>E40*Labisoit!$C$80*J40</f>
        <v>0.63914836559617738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</row>
    <row r="41" spans="1:49" s="89" customFormat="1" ht="13.8" thickBot="1" x14ac:dyDescent="0.3">
      <c r="B41" s="57"/>
      <c r="C41" s="159"/>
      <c r="D41" s="159"/>
      <c r="E41" s="159"/>
      <c r="F41" s="57"/>
      <c r="G41" s="59"/>
      <c r="H41" s="57"/>
      <c r="I41" s="135" t="s">
        <v>50</v>
      </c>
      <c r="J41" s="138"/>
      <c r="K41" s="57"/>
      <c r="L41" s="57">
        <v>76</v>
      </c>
      <c r="M41" s="58">
        <f>SUM(M33:M40)</f>
        <v>14.948584295613685</v>
      </c>
      <c r="N41" s="118">
        <f>SUM(N33:N40)</f>
        <v>16.351599070575769</v>
      </c>
      <c r="O41" s="118">
        <f>SUM(O33:O40)</f>
        <v>12.865799102744189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1:49" s="113" customFormat="1" ht="13.8" thickBot="1" x14ac:dyDescent="0.3">
      <c r="A42" s="110"/>
      <c r="B42" s="110"/>
      <c r="C42" s="110"/>
      <c r="D42" s="110"/>
      <c r="E42" s="109"/>
      <c r="F42" s="109"/>
      <c r="G42" s="111"/>
      <c r="H42" s="110"/>
      <c r="I42" s="136"/>
      <c r="J42" s="139"/>
      <c r="K42" s="112"/>
      <c r="L42" s="262" t="s">
        <v>86</v>
      </c>
      <c r="M42" s="263"/>
      <c r="N42" s="263"/>
      <c r="O42" s="124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</row>
    <row r="43" spans="1:49" s="113" customFormat="1" ht="13.8" thickBot="1" x14ac:dyDescent="0.3">
      <c r="A43" s="106" t="s">
        <v>85</v>
      </c>
      <c r="B43" s="107">
        <v>2010</v>
      </c>
      <c r="C43" s="158">
        <v>2020</v>
      </c>
      <c r="D43" s="158">
        <v>2030</v>
      </c>
      <c r="E43" s="108">
        <v>2050</v>
      </c>
      <c r="F43" s="108"/>
      <c r="G43" s="106">
        <v>2010</v>
      </c>
      <c r="H43" s="107">
        <v>2020</v>
      </c>
      <c r="I43" s="114">
        <v>2030</v>
      </c>
      <c r="J43" s="137">
        <v>2050</v>
      </c>
      <c r="K43" s="108"/>
      <c r="L43" s="107">
        <v>2011</v>
      </c>
      <c r="M43" s="107">
        <v>2020</v>
      </c>
      <c r="N43" s="114">
        <v>2030</v>
      </c>
      <c r="O43" s="123">
        <v>2050</v>
      </c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</row>
    <row r="44" spans="1:49" s="89" customFormat="1" x14ac:dyDescent="0.25">
      <c r="A44" s="73" t="s">
        <v>57</v>
      </c>
      <c r="B44" s="73"/>
      <c r="C44" s="67">
        <v>0.17</v>
      </c>
      <c r="D44" s="67">
        <v>1.2999999999999999E-2</v>
      </c>
      <c r="E44" s="182">
        <f t="shared" ref="E44:E51" si="5">D44*$D$19</f>
        <v>9.75E-3</v>
      </c>
      <c r="F44" s="52"/>
      <c r="G44" s="75"/>
      <c r="H44" s="74">
        <f t="shared" ref="H44:I51" si="6">H33</f>
        <v>0.71500000000000008</v>
      </c>
      <c r="I44" s="132">
        <f t="shared" si="6"/>
        <v>0.68</v>
      </c>
      <c r="J44" s="142">
        <f>[7]TransportB_EE!$E$56+[7]TransportB_EE!$G$56+[7]TransportB_EE!$H$56+[7]TransportB_EE!$L$56</f>
        <v>0.58000000000000007</v>
      </c>
      <c r="K44" s="64"/>
      <c r="L44" s="73"/>
      <c r="M44" s="72">
        <f>C44*Labisoit!$H$7*H44</f>
        <v>968.2252406554129</v>
      </c>
      <c r="N44" s="115">
        <f>D44*Labisoit!$H$35*I44</f>
        <v>80.846469926686311</v>
      </c>
      <c r="O44" s="115">
        <f>E44*Labisoit!$H$64*J44</f>
        <v>57.062643830430865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</row>
    <row r="45" spans="1:49" s="89" customFormat="1" x14ac:dyDescent="0.25">
      <c r="A45" s="67" t="s">
        <v>56</v>
      </c>
      <c r="B45" s="67"/>
      <c r="C45" s="67">
        <v>0.17</v>
      </c>
      <c r="D45" s="67">
        <v>0.11</v>
      </c>
      <c r="E45" s="182">
        <f t="shared" si="5"/>
        <v>8.2500000000000004E-2</v>
      </c>
      <c r="F45" s="52"/>
      <c r="G45" s="69"/>
      <c r="H45" s="68">
        <f t="shared" si="6"/>
        <v>0.28499999999999992</v>
      </c>
      <c r="I45" s="133">
        <f t="shared" si="6"/>
        <v>0.31</v>
      </c>
      <c r="J45" s="142">
        <f>[7]TransportB_EE!$F$56+[7]TransportB_EE!$J$56</f>
        <v>0.37</v>
      </c>
      <c r="K45" s="64"/>
      <c r="L45" s="67"/>
      <c r="M45" s="72">
        <f>C45*Labisoit!$H$7*H45</f>
        <v>385.93593508642317</v>
      </c>
      <c r="N45" s="115">
        <f>D45*Labisoit!$H$35*I45</f>
        <v>311.86251408371072</v>
      </c>
      <c r="O45" s="115">
        <f>E45*Labisoit!$H$64*J45</f>
        <v>308.01718884595971</v>
      </c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</row>
    <row r="46" spans="1:49" s="89" customFormat="1" x14ac:dyDescent="0.25">
      <c r="A46" s="67" t="s">
        <v>55</v>
      </c>
      <c r="B46" s="67"/>
      <c r="C46" s="67">
        <v>0.13</v>
      </c>
      <c r="D46" s="67">
        <v>5.8000000000000003E-2</v>
      </c>
      <c r="E46" s="182">
        <f t="shared" si="5"/>
        <v>4.3500000000000004E-2</v>
      </c>
      <c r="F46" s="52"/>
      <c r="G46" s="69"/>
      <c r="H46" s="68">
        <f t="shared" si="6"/>
        <v>0.94500000000000006</v>
      </c>
      <c r="I46" s="133">
        <f t="shared" si="6"/>
        <v>0.84999999999999987</v>
      </c>
      <c r="J46" s="143">
        <f>[7]TransportB_EE!$F$57+[7]TransportB_EE!$J$57</f>
        <v>0.8</v>
      </c>
      <c r="K46" s="64"/>
      <c r="L46" s="67"/>
      <c r="M46" s="71">
        <f>C46*Labisoit!$H$8*'Ohusaaste (joonised)'!H46</f>
        <v>12.705333115486305</v>
      </c>
      <c r="N46" s="116">
        <f>D46*Labisoit!$H$39*'Ohusaaste (joonised)'!I46</f>
        <v>0.88132807135628499</v>
      </c>
      <c r="O46" s="115">
        <f>E46*Labisoit!$H$65*J46</f>
        <v>3.599068721358758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</row>
    <row r="47" spans="1:49" s="89" customFormat="1" x14ac:dyDescent="0.25">
      <c r="A47" s="67" t="s">
        <v>54</v>
      </c>
      <c r="B47" s="67"/>
      <c r="C47" s="67">
        <v>0.81</v>
      </c>
      <c r="D47" s="67">
        <v>0.4</v>
      </c>
      <c r="E47" s="182">
        <f t="shared" si="5"/>
        <v>0.30000000000000004</v>
      </c>
      <c r="F47" s="52"/>
      <c r="G47" s="69"/>
      <c r="H47" s="68">
        <f t="shared" si="6"/>
        <v>5.4999999999999938E-2</v>
      </c>
      <c r="I47" s="68">
        <f t="shared" si="6"/>
        <v>0.1</v>
      </c>
      <c r="J47" s="68">
        <f>[7]TransportB_EE!$L$57</f>
        <v>0</v>
      </c>
      <c r="K47" s="64"/>
      <c r="L47" s="67"/>
      <c r="M47" s="71">
        <f>C47*Labisoit!$H$8*'Ohusaaste (joonised)'!H47</f>
        <v>4.6074284924290936</v>
      </c>
      <c r="N47" s="116">
        <f>D47*Labisoit!$H$39*'Ohusaaste (joonised)'!I47</f>
        <v>0.71507348588745256</v>
      </c>
      <c r="O47" s="115">
        <f>E47*Labisoit!$H$65*J47</f>
        <v>0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</row>
    <row r="48" spans="1:49" s="89" customFormat="1" x14ac:dyDescent="0.25">
      <c r="A48" s="67" t="s">
        <v>53</v>
      </c>
      <c r="B48" s="67"/>
      <c r="C48" s="67">
        <v>4.2000000000000003E-2</v>
      </c>
      <c r="D48" s="67">
        <v>2.2000000000000001E-3</v>
      </c>
      <c r="E48" s="182">
        <f t="shared" si="5"/>
        <v>1.65E-3</v>
      </c>
      <c r="F48" s="52"/>
      <c r="G48" s="69"/>
      <c r="H48" s="68">
        <f t="shared" si="6"/>
        <v>0.98499999999999999</v>
      </c>
      <c r="I48" s="68">
        <f t="shared" si="6"/>
        <v>0.96</v>
      </c>
      <c r="J48" s="68">
        <f>[7]TransportB_EE!$F$63+[7]TransportB_EE!$J$63</f>
        <v>0.92999999999999994</v>
      </c>
      <c r="K48" s="64"/>
      <c r="L48" s="67"/>
      <c r="M48" s="71">
        <f>C48*Labisoit!$C$21*'Ohusaaste (joonised)'!H48</f>
        <v>297.49834244788389</v>
      </c>
      <c r="N48" s="116">
        <f>D48*Labisoit!$C$50*'Ohusaaste (joonised)'!I48</f>
        <v>18.851246854951778</v>
      </c>
      <c r="O48" s="115">
        <f>E48*Labisoit!$C$79*J48</f>
        <v>14.566886983106782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</row>
    <row r="49" spans="1:49" s="89" customFormat="1" x14ac:dyDescent="0.25">
      <c r="A49" s="67" t="s">
        <v>46</v>
      </c>
      <c r="B49" s="67"/>
      <c r="C49" s="67">
        <f>C48*6</f>
        <v>0.252</v>
      </c>
      <c r="D49" s="67">
        <f>C49/2</f>
        <v>0.126</v>
      </c>
      <c r="E49" s="182">
        <f t="shared" si="5"/>
        <v>9.4500000000000001E-2</v>
      </c>
      <c r="F49" s="52"/>
      <c r="G49" s="69"/>
      <c r="H49" s="68">
        <f t="shared" si="6"/>
        <v>1.5000000000000013E-2</v>
      </c>
      <c r="I49" s="68">
        <f t="shared" si="6"/>
        <v>0.03</v>
      </c>
      <c r="J49" s="68">
        <f>[7]TransportB_EE!$L$63</f>
        <v>0</v>
      </c>
      <c r="K49" s="64"/>
      <c r="L49" s="67"/>
      <c r="M49" s="71">
        <f>C49*Labisoit!$C$21*'Ohusaaste (joonised)'!H49</f>
        <v>27.182589665288905</v>
      </c>
      <c r="N49" s="120">
        <f>D49*Labisoit!$C$50*'Ohusaaste (joonised)'!I49</f>
        <v>33.739447496078462</v>
      </c>
      <c r="O49" s="115">
        <f>E49*Labisoit!$C$79*J49</f>
        <v>0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</row>
    <row r="50" spans="1:49" s="89" customFormat="1" x14ac:dyDescent="0.25">
      <c r="A50" s="67" t="s">
        <v>52</v>
      </c>
      <c r="B50" s="67"/>
      <c r="C50" s="67">
        <v>7.1999999999999998E-3</v>
      </c>
      <c r="D50" s="67">
        <v>7.1999999999999998E-3</v>
      </c>
      <c r="E50" s="182">
        <f t="shared" si="5"/>
        <v>5.4000000000000003E-3</v>
      </c>
      <c r="F50" s="52"/>
      <c r="G50" s="69"/>
      <c r="H50" s="68">
        <f t="shared" si="6"/>
        <v>0.3</v>
      </c>
      <c r="I50" s="68">
        <f t="shared" si="6"/>
        <v>0.24999999999999997</v>
      </c>
      <c r="J50" s="146">
        <f>[7]TransportB_EE!$F$58</f>
        <v>9.9999999999999978E-2</v>
      </c>
      <c r="K50" s="64"/>
      <c r="L50" s="67"/>
      <c r="M50" s="91">
        <f>C50*Labisoit!$C$9*H50</f>
        <v>1.3917193911232173</v>
      </c>
      <c r="N50" s="91">
        <f>D50*Labisoit!$C$37*I50</f>
        <v>1.2871322745974141</v>
      </c>
      <c r="O50" s="115">
        <f>E50*Labisoit!$C$66*J50</f>
        <v>0.42329409824348591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</row>
    <row r="51" spans="1:49" s="89" customFormat="1" ht="13.8" thickBot="1" x14ac:dyDescent="0.3">
      <c r="A51" s="63" t="s">
        <v>51</v>
      </c>
      <c r="B51" s="63"/>
      <c r="C51" s="67">
        <v>3.6999999999999998E-2</v>
      </c>
      <c r="D51" s="67">
        <v>3.6999999999999998E-2</v>
      </c>
      <c r="E51" s="182">
        <f t="shared" si="5"/>
        <v>2.7749999999999997E-2</v>
      </c>
      <c r="F51" s="52"/>
      <c r="G51" s="66"/>
      <c r="H51" s="68">
        <f t="shared" si="6"/>
        <v>1</v>
      </c>
      <c r="I51" s="133">
        <f t="shared" si="6"/>
        <v>1</v>
      </c>
      <c r="J51" s="144">
        <f>[7]TransportB_EE!$F$64</f>
        <v>0.7</v>
      </c>
      <c r="K51" s="64"/>
      <c r="L51" s="63"/>
      <c r="M51" s="62">
        <f>C51*Labisoit!$C$22*'Ohusaaste (joonised)'!H51</f>
        <v>245.60581626756738</v>
      </c>
      <c r="N51" s="117">
        <f>D51*Labisoit!$C$51*'Ohusaaste (joonised)'!I51</f>
        <v>249.13887016736672</v>
      </c>
      <c r="O51" s="115">
        <f>E51*Labisoit!$C$80*J51</f>
        <v>139.10876192387389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</row>
    <row r="52" spans="1:49" s="89" customFormat="1" ht="13.8" thickBot="1" x14ac:dyDescent="0.3">
      <c r="B52" s="57"/>
      <c r="C52" s="159"/>
      <c r="D52" s="159"/>
      <c r="E52" s="57"/>
      <c r="F52" s="57"/>
      <c r="G52" s="59"/>
      <c r="H52" s="57"/>
      <c r="I52" s="135" t="s">
        <v>50</v>
      </c>
      <c r="J52" s="141"/>
      <c r="K52" s="57"/>
      <c r="L52" s="57">
        <v>2578</v>
      </c>
      <c r="M52" s="58">
        <f>SUM(M44:M51)</f>
        <v>1943.1524051216152</v>
      </c>
      <c r="N52" s="118">
        <f>SUM(N44:N51)</f>
        <v>697.32208236063514</v>
      </c>
      <c r="O52" s="118">
        <f>SUM(O44:O51)</f>
        <v>522.77784440297353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</row>
    <row r="53" spans="1:49" s="89" customFormat="1" x14ac:dyDescent="0.25">
      <c r="G53" s="80"/>
      <c r="I53" s="94"/>
      <c r="J53" s="95"/>
      <c r="M53" s="105"/>
      <c r="N53" s="105"/>
      <c r="O53" s="105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</row>
    <row r="54" spans="1:49" s="202" customFormat="1" ht="13.8" thickBot="1" x14ac:dyDescent="0.3">
      <c r="A54" s="161"/>
      <c r="G54" s="203"/>
      <c r="J54" s="204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</row>
    <row r="55" spans="1:49" s="46" customFormat="1" x14ac:dyDescent="0.25">
      <c r="A55" s="150" t="s">
        <v>24</v>
      </c>
      <c r="G55" s="150" t="s">
        <v>24</v>
      </c>
      <c r="H55" s="43"/>
      <c r="I55" s="43"/>
      <c r="J55" s="151"/>
      <c r="K55" s="152"/>
      <c r="L55" s="152" t="s">
        <v>49</v>
      </c>
      <c r="M55" s="43"/>
      <c r="N55" s="151"/>
      <c r="O55" s="30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 ht="13.8" thickBot="1" x14ac:dyDescent="0.3">
      <c r="G56" s="80" t="s">
        <v>48</v>
      </c>
      <c r="H56" s="64"/>
      <c r="I56" s="64"/>
      <c r="J56" s="126"/>
      <c r="K56" s="64"/>
      <c r="L56" s="267" t="s">
        <v>47</v>
      </c>
      <c r="M56" s="267"/>
      <c r="N56" s="268"/>
      <c r="O56" s="260"/>
    </row>
    <row r="57" spans="1:49" s="189" customFormat="1" ht="13.8" thickBot="1" x14ac:dyDescent="0.3">
      <c r="A57" s="188" t="str">
        <f t="shared" ref="A57:E62" si="7">A10</f>
        <v xml:space="preserve">NOx </v>
      </c>
      <c r="B57" s="188">
        <f t="shared" si="7"/>
        <v>2010</v>
      </c>
      <c r="C57" s="188">
        <f t="shared" si="7"/>
        <v>2020</v>
      </c>
      <c r="D57" s="188">
        <f t="shared" si="7"/>
        <v>2030</v>
      </c>
      <c r="E57" s="108">
        <v>2050</v>
      </c>
      <c r="G57" s="190">
        <v>2010</v>
      </c>
      <c r="H57" s="191">
        <v>2020</v>
      </c>
      <c r="I57" s="191">
        <v>2030</v>
      </c>
      <c r="J57" s="127">
        <v>2050</v>
      </c>
      <c r="K57" s="149"/>
      <c r="L57" s="191">
        <v>2010</v>
      </c>
      <c r="M57" s="191">
        <v>2020</v>
      </c>
      <c r="N57" s="192">
        <v>2030</v>
      </c>
      <c r="O57" s="125">
        <v>2050</v>
      </c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</row>
    <row r="58" spans="1:49" x14ac:dyDescent="0.25">
      <c r="A58" s="85" t="str">
        <f t="shared" si="7"/>
        <v>Sõiduauto, bensiin, gaas, etanool - sõiduki-km</v>
      </c>
      <c r="B58" s="85">
        <f t="shared" si="7"/>
        <v>0</v>
      </c>
      <c r="C58" s="85">
        <f t="shared" si="7"/>
        <v>0.33</v>
      </c>
      <c r="D58" s="85">
        <f t="shared" si="7"/>
        <v>0.12666666666666668</v>
      </c>
      <c r="E58" s="178">
        <f t="shared" si="7"/>
        <v>9.5000000000000001E-2</v>
      </c>
      <c r="G58" s="69"/>
      <c r="H58" s="74">
        <f>[2]TransportB_VS!$S$56+[2]TransportB_VS!$U$56+[2]TransportB_VS!$V$56+[2]TransportB_VS!$Z$56</f>
        <v>0.72</v>
      </c>
      <c r="I58" s="78">
        <f>[6]Transport30B_VS!$S$56+[6]Transport30B_VS!$U$56+[6]Transport30B_VS!$V$56+[6]Transport30B_VS!$Z$56</f>
        <v>0.69000000000000006</v>
      </c>
      <c r="J58" s="142">
        <f>[7]Transport50VS!$S$56+[7]Transport50VS!$U$56+[7]Transport50VS!$V$56</f>
        <v>0.44999999999999996</v>
      </c>
      <c r="K58" s="64"/>
      <c r="L58" s="73"/>
      <c r="M58" s="72">
        <f>C58*Labisoit!$J$7*H58</f>
        <v>1696.0375218139536</v>
      </c>
      <c r="N58" s="115">
        <f>D58*Labisoit!$J$35*I58</f>
        <v>714.97324048379869</v>
      </c>
      <c r="O58" s="185">
        <f>E58*Labisoit!$J$64*J58</f>
        <v>402.79347896562405</v>
      </c>
    </row>
    <row r="59" spans="1:49" x14ac:dyDescent="0.25">
      <c r="A59" s="85" t="str">
        <f t="shared" si="7"/>
        <v>Sõiduauto, diisel, biodiisel</v>
      </c>
      <c r="B59" s="85">
        <f t="shared" si="7"/>
        <v>0</v>
      </c>
      <c r="C59" s="85">
        <f t="shared" si="7"/>
        <v>0.53</v>
      </c>
      <c r="D59" s="85">
        <f t="shared" ref="D59:E62" si="8">D12</f>
        <v>0.2</v>
      </c>
      <c r="E59" s="178">
        <f t="shared" si="8"/>
        <v>0.15000000000000002</v>
      </c>
      <c r="G59" s="69"/>
      <c r="H59" s="74">
        <f>[2]TransportB_VS!$T$56</f>
        <v>0.27850000000000008</v>
      </c>
      <c r="I59" s="173">
        <f>[6]Transport30B_VS!$T$56</f>
        <v>0.29500000000000004</v>
      </c>
      <c r="J59" s="174">
        <f>[7]Transport50VS!$T$56+[7]Transport50VS!$X$56</f>
        <v>0.35000000000000003</v>
      </c>
      <c r="K59" s="64"/>
      <c r="L59" s="67"/>
      <c r="M59" s="72">
        <f>C59*Labisoit!$J$7*H59</f>
        <v>1053.6347576066864</v>
      </c>
      <c r="N59" s="172">
        <f>D59*Labisoit!$J$35*I59</f>
        <v>482.64783968585954</v>
      </c>
      <c r="O59" s="187">
        <f>E59*Labisoit!$J$64*J59</f>
        <v>494.65865837883666</v>
      </c>
    </row>
    <row r="60" spans="1:49" x14ac:dyDescent="0.25">
      <c r="A60" s="85" t="str">
        <f t="shared" si="7"/>
        <v>Buss, diisel, biodiisel - sõiduki-km</v>
      </c>
      <c r="B60" s="85">
        <f t="shared" si="7"/>
        <v>0</v>
      </c>
      <c r="C60" s="85">
        <f t="shared" si="7"/>
        <v>7.1</v>
      </c>
      <c r="D60" s="85">
        <f t="shared" si="8"/>
        <v>3.55</v>
      </c>
      <c r="E60" s="178">
        <f t="shared" si="8"/>
        <v>2.6624999999999996</v>
      </c>
      <c r="G60" s="69"/>
      <c r="H60" s="78">
        <f>[2]TransportB_VS!$T$57</f>
        <v>0.78700000000000003</v>
      </c>
      <c r="I60" s="78">
        <f>[6]Transport30B_VS!$T$57</f>
        <v>0.48000000000000009</v>
      </c>
      <c r="J60" s="142">
        <f>[7]Transport50VS!$T$57+[7]Transport50VS!$X$57</f>
        <v>0.15000000000000002</v>
      </c>
      <c r="K60" s="64"/>
      <c r="L60" s="67"/>
      <c r="M60" s="71">
        <f>C60*Labisoit!$J$8*'Ohusaaste (joonised)'!H60</f>
        <v>542.05768101759998</v>
      </c>
      <c r="N60" s="116">
        <f>D60*Labisoit!$J$36*'Ohusaaste (joonised)'!I60</f>
        <v>159.16463185625864</v>
      </c>
      <c r="O60" s="185">
        <f>E60*Labisoit!$J$65*J60</f>
        <v>37.176024643910331</v>
      </c>
    </row>
    <row r="61" spans="1:49" x14ac:dyDescent="0.25">
      <c r="A61" s="85" t="str">
        <f t="shared" si="7"/>
        <v>Buss, gaas</v>
      </c>
      <c r="B61" s="85">
        <f t="shared" si="7"/>
        <v>0</v>
      </c>
      <c r="C61" s="85">
        <f t="shared" si="7"/>
        <v>2.1</v>
      </c>
      <c r="D61" s="85">
        <f t="shared" si="8"/>
        <v>0.7</v>
      </c>
      <c r="E61" s="178">
        <f t="shared" si="8"/>
        <v>0.52499999999999991</v>
      </c>
      <c r="G61" s="69"/>
      <c r="H61" s="78">
        <f>[2]TransportB_VS!$U$57+[2]TransportB_VS!$Z$57</f>
        <v>0.2</v>
      </c>
      <c r="I61" s="78">
        <f>[6]Transport30B_VS!$U$57+[6]Transport30B_VS!$Z$57</f>
        <v>0.39999999999999997</v>
      </c>
      <c r="J61" s="142">
        <f>[7]Transport50VS!$U$57+[7]Transport50VS!$Z$57</f>
        <v>0.6</v>
      </c>
      <c r="K61" s="64"/>
      <c r="L61" s="67"/>
      <c r="M61" s="71">
        <f>C61*Labisoit!$J$8*'Ohusaaste (joonised)'!H61</f>
        <v>40.743816960000004</v>
      </c>
      <c r="N61" s="116">
        <f>D61*Labisoit!$J$36*'Ohusaaste (joonised)'!I61</f>
        <v>26.153812746333571</v>
      </c>
      <c r="O61" s="185">
        <f>E61*Labisoit!$J$65*J61</f>
        <v>29.32193493040814</v>
      </c>
    </row>
    <row r="62" spans="1:49" x14ac:dyDescent="0.25">
      <c r="A62" s="85" t="str">
        <f t="shared" si="7"/>
        <v>Veoauto, diisel NB -Tonn-km kohta</v>
      </c>
      <c r="B62" s="85">
        <f t="shared" si="7"/>
        <v>0</v>
      </c>
      <c r="C62" s="85">
        <f t="shared" si="7"/>
        <v>0.7</v>
      </c>
      <c r="D62" s="85">
        <f t="shared" si="8"/>
        <v>0.35</v>
      </c>
      <c r="E62" s="178">
        <f t="shared" si="8"/>
        <v>0.26249999999999996</v>
      </c>
      <c r="G62" s="69"/>
      <c r="H62" s="78">
        <f>[2]TransportB_VS!$T$63</f>
        <v>0.87</v>
      </c>
      <c r="I62" s="78">
        <f>[6]Transport30B_VS!$T$63</f>
        <v>0.73499999999999999</v>
      </c>
      <c r="J62" s="142">
        <f>[7]Transport50VS!$T$63</f>
        <v>0.72</v>
      </c>
      <c r="K62" s="64"/>
      <c r="L62" s="67"/>
      <c r="M62" s="71">
        <f>C62*Labisoit!$E$21*'Ohusaaste (joonised)'!H62</f>
        <v>3891.1412127430012</v>
      </c>
      <c r="N62" s="116">
        <f>D62*Labisoit!$E$50*'Ohusaaste (joonised)'!I62</f>
        <v>2028.2718784100873</v>
      </c>
      <c r="O62" s="185">
        <f>E62*Labisoit!$E$79*J62</f>
        <v>1584.8431292471007</v>
      </c>
    </row>
    <row r="63" spans="1:49" x14ac:dyDescent="0.25">
      <c r="A63" s="67" t="s">
        <v>46</v>
      </c>
      <c r="B63" s="85">
        <f t="shared" ref="B63:E65" si="9">B16</f>
        <v>0</v>
      </c>
      <c r="C63" s="85">
        <f t="shared" si="9"/>
        <v>0.25</v>
      </c>
      <c r="D63" s="85">
        <f t="shared" si="9"/>
        <v>0.125</v>
      </c>
      <c r="E63" s="178">
        <f t="shared" si="9"/>
        <v>9.375E-2</v>
      </c>
      <c r="G63" s="69"/>
      <c r="H63" s="78">
        <f>[2]TransportB_VS!$Z$63</f>
        <v>0.05</v>
      </c>
      <c r="I63" s="78">
        <f>[6]Transport30B_VS!$U$63+[6]Transport30B_VS!$Z$63</f>
        <v>0.25</v>
      </c>
      <c r="J63" s="78">
        <f>[7]Transport50VS!$U$63+[7]Transport50VS!$Z$63</f>
        <v>0.25</v>
      </c>
      <c r="K63" s="64"/>
      <c r="L63" s="67"/>
      <c r="M63" s="71">
        <f>C63*Labisoit!$E$21*'Ohusaaste (joonised)'!H63</f>
        <v>79.867430475020569</v>
      </c>
      <c r="N63" s="116">
        <f>D63*Labisoit!$E$50*'Ohusaaste (joonised)'!I63</f>
        <v>246.38871214894164</v>
      </c>
      <c r="O63" s="185">
        <f>E63*Labisoit!$E$79*J63</f>
        <v>196.53312614671393</v>
      </c>
    </row>
    <row r="64" spans="1:49" x14ac:dyDescent="0.25">
      <c r="A64" s="85" t="str">
        <f>A17</f>
        <v>Reisirong, diisel, reisija_km kohta</v>
      </c>
      <c r="B64" s="85">
        <f t="shared" si="9"/>
        <v>0</v>
      </c>
      <c r="C64" s="85">
        <f t="shared" si="9"/>
        <v>0.2</v>
      </c>
      <c r="D64" s="85">
        <f t="shared" si="9"/>
        <v>0.2</v>
      </c>
      <c r="E64" s="178">
        <f t="shared" si="9"/>
        <v>0.15000000000000002</v>
      </c>
      <c r="G64" s="69"/>
      <c r="H64" s="78">
        <f>[2]TransportB_VS!$T$58+[2]TransportB_VS!$X$58</f>
        <v>0.3</v>
      </c>
      <c r="I64" s="78">
        <f>[6]Transport30B_VS!$T$58+[6]Transport30B_VS!$X$58</f>
        <v>0.24999999999999997</v>
      </c>
      <c r="J64" s="78">
        <f>[7]Transport50VS!$T$58</f>
        <v>0</v>
      </c>
      <c r="K64" s="64"/>
      <c r="L64" s="67"/>
      <c r="M64" s="92">
        <f>C64*Labisoit!$E$9*H64</f>
        <v>45.473010000000002</v>
      </c>
      <c r="N64" s="92">
        <f>D64*Labisoit!$E$37*I64</f>
        <v>42.457488224567484</v>
      </c>
      <c r="O64" s="185">
        <f>E64*Labisoit!$E$66*J64</f>
        <v>0</v>
      </c>
    </row>
    <row r="65" spans="1:49" ht="13.8" thickBot="1" x14ac:dyDescent="0.3">
      <c r="A65" s="85" t="str">
        <f>A18</f>
        <v>Kaubarong, g/tonn-km</v>
      </c>
      <c r="B65" s="85">
        <f t="shared" si="9"/>
        <v>0</v>
      </c>
      <c r="C65" s="85">
        <f t="shared" si="9"/>
        <v>0.32</v>
      </c>
      <c r="D65" s="85">
        <f t="shared" si="9"/>
        <v>0.10560000000000001</v>
      </c>
      <c r="E65" s="178">
        <f t="shared" si="9"/>
        <v>7.9200000000000007E-2</v>
      </c>
      <c r="G65" s="66"/>
      <c r="H65" s="77">
        <f>[2]TransportB_VS!$T$64+[2]TransportB_VS!$X$64</f>
        <v>1</v>
      </c>
      <c r="I65" s="77">
        <f>[6]Transport30B_VS!$T$64</f>
        <v>0.85</v>
      </c>
      <c r="J65" s="142">
        <f>[7]Transport50VS!$T$64</f>
        <v>0.55000000000000004</v>
      </c>
      <c r="K65" s="64"/>
      <c r="L65" s="63"/>
      <c r="M65" s="62">
        <f>C65*Labisoit!$E$22*'Ohusaaste (joonised)'!H65</f>
        <v>2305.619780181019</v>
      </c>
      <c r="N65" s="117">
        <f>D65*Labisoit!$E$51*'Ohusaaste (joonised)'!I65</f>
        <v>627.58942654610291</v>
      </c>
      <c r="O65" s="185">
        <f>E65*Labisoit!$E$80*J65</f>
        <v>323.91744388241739</v>
      </c>
    </row>
    <row r="66" spans="1:49" ht="13.8" thickBot="1" x14ac:dyDescent="0.3">
      <c r="A66" s="85" t="str">
        <f>I19</f>
        <v>Kokku</v>
      </c>
      <c r="B66" s="85"/>
      <c r="C66" s="85"/>
      <c r="D66" s="85"/>
      <c r="G66" s="61"/>
      <c r="H66" s="60"/>
      <c r="I66" s="60"/>
      <c r="J66" s="129"/>
      <c r="K66" s="57"/>
      <c r="L66" s="60">
        <v>12368</v>
      </c>
      <c r="M66" s="58">
        <f>SUM(M58:M65)</f>
        <v>9654.5752107972803</v>
      </c>
      <c r="N66" s="118">
        <f>SUM(N58:N65)</f>
        <v>4327.647030101949</v>
      </c>
      <c r="O66" s="186">
        <f>SUM(O58:O65)</f>
        <v>3069.2437961950113</v>
      </c>
    </row>
    <row r="67" spans="1:49" ht="13.8" thickBot="1" x14ac:dyDescent="0.3">
      <c r="A67" s="84"/>
      <c r="B67" s="84"/>
      <c r="C67" s="84"/>
      <c r="D67" s="84"/>
      <c r="G67" s="80" t="s">
        <v>48</v>
      </c>
      <c r="H67" s="76"/>
      <c r="I67" s="76"/>
      <c r="J67" s="126"/>
      <c r="K67" s="64"/>
      <c r="L67" s="269" t="s">
        <v>101</v>
      </c>
      <c r="M67" s="267"/>
      <c r="N67" s="267"/>
      <c r="O67" s="122"/>
    </row>
    <row r="68" spans="1:49" s="108" customFormat="1" ht="13.8" thickBot="1" x14ac:dyDescent="0.3">
      <c r="A68" s="193" t="str">
        <f t="shared" ref="A68:E73" si="10">A21</f>
        <v>PM2,5</v>
      </c>
      <c r="B68" s="194">
        <f t="shared" si="10"/>
        <v>2010</v>
      </c>
      <c r="C68" s="194">
        <f t="shared" si="10"/>
        <v>2020</v>
      </c>
      <c r="D68" s="194">
        <f t="shared" si="10"/>
        <v>2030</v>
      </c>
      <c r="E68" s="108">
        <v>2050</v>
      </c>
      <c r="G68" s="106">
        <v>2010</v>
      </c>
      <c r="H68" s="107">
        <v>2020</v>
      </c>
      <c r="I68" s="107">
        <v>2030</v>
      </c>
      <c r="J68" s="127">
        <v>2050</v>
      </c>
      <c r="L68" s="107">
        <v>2010</v>
      </c>
      <c r="M68" s="107">
        <v>2020</v>
      </c>
      <c r="N68" s="114">
        <v>2030</v>
      </c>
      <c r="O68" s="123">
        <v>2050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</row>
    <row r="69" spans="1:49" x14ac:dyDescent="0.25">
      <c r="A69" s="86" t="str">
        <f t="shared" si="10"/>
        <v>Sõiduauto, bensiin, gaas, etanool</v>
      </c>
      <c r="B69" s="86">
        <f t="shared" si="10"/>
        <v>0</v>
      </c>
      <c r="C69" s="86">
        <f t="shared" si="10"/>
        <v>3.3E-3</v>
      </c>
      <c r="D69" s="86">
        <f t="shared" si="10"/>
        <v>2E-3</v>
      </c>
      <c r="E69" s="180">
        <f t="shared" si="10"/>
        <v>1.5E-3</v>
      </c>
      <c r="G69" s="75"/>
      <c r="H69" s="74">
        <f>H22</f>
        <v>0.71500000000000008</v>
      </c>
      <c r="I69" s="74">
        <f t="shared" ref="I69:I76" si="11">I58</f>
        <v>0.69000000000000006</v>
      </c>
      <c r="J69" s="142">
        <f>[7]Transport50VS!$S$56+[7]Transport50VS!$U$56+[7]Transport50VS!$V$56</f>
        <v>0.44999999999999996</v>
      </c>
      <c r="K69" s="64"/>
      <c r="L69" s="73"/>
      <c r="M69" s="72">
        <f>C69*Labisoit!$J$7*H69</f>
        <v>16.842594834680234</v>
      </c>
      <c r="N69" s="115">
        <f>D69*Labisoit!$J$35*I69</f>
        <v>11.289051165533666</v>
      </c>
      <c r="O69" s="185">
        <f>E69*Labisoit!$J$64*J69</f>
        <v>6.3598970362993272</v>
      </c>
    </row>
    <row r="70" spans="1:49" x14ac:dyDescent="0.25">
      <c r="A70" s="85" t="str">
        <f t="shared" si="10"/>
        <v>Sõiduauto, diisel, biodiisel</v>
      </c>
      <c r="B70" s="85">
        <f t="shared" si="10"/>
        <v>0</v>
      </c>
      <c r="C70" s="85">
        <f t="shared" si="10"/>
        <v>2.9000000000000001E-2</v>
      </c>
      <c r="D70" s="86">
        <f t="shared" ref="D70:E73" si="12">D23</f>
        <v>1.4999999999999999E-2</v>
      </c>
      <c r="E70" s="180">
        <f t="shared" si="12"/>
        <v>1.125E-2</v>
      </c>
      <c r="G70" s="69"/>
      <c r="H70" s="74">
        <f>H23</f>
        <v>0.28499999999999992</v>
      </c>
      <c r="I70" s="68">
        <f t="shared" si="11"/>
        <v>0.29500000000000004</v>
      </c>
      <c r="J70" s="142">
        <f>[7]Transport50VS!$T$56+[7]Transport50VS!$X$56</f>
        <v>0.35000000000000003</v>
      </c>
      <c r="K70" s="64"/>
      <c r="L70" s="67"/>
      <c r="M70" s="72">
        <f>C70*Labisoit!$J$7*H70</f>
        <v>58.997264805523244</v>
      </c>
      <c r="N70" s="115">
        <f>D70*Labisoit!$J$35*I70</f>
        <v>36.198587976439462</v>
      </c>
      <c r="O70" s="185">
        <f>E70*Labisoit!$J$64*J70</f>
        <v>37.099399378412741</v>
      </c>
    </row>
    <row r="71" spans="1:49" x14ac:dyDescent="0.25">
      <c r="A71" s="85" t="str">
        <f t="shared" si="10"/>
        <v>Buss, diisel, biodiisel</v>
      </c>
      <c r="B71" s="85">
        <f t="shared" si="10"/>
        <v>0</v>
      </c>
      <c r="C71" s="85">
        <f t="shared" si="10"/>
        <v>0.17</v>
      </c>
      <c r="D71" s="86">
        <f t="shared" si="12"/>
        <v>1.4999999999999999E-2</v>
      </c>
      <c r="E71" s="180">
        <f t="shared" si="12"/>
        <v>1.125E-2</v>
      </c>
      <c r="G71" s="69"/>
      <c r="H71" s="68">
        <f t="shared" ref="H71:H76" si="13">H60</f>
        <v>0.78700000000000003</v>
      </c>
      <c r="I71" s="68">
        <f t="shared" si="11"/>
        <v>0.48000000000000009</v>
      </c>
      <c r="J71" s="142">
        <f>[7]Transport50VS!$T$57+[7]Transport50VS!$X$57</f>
        <v>0.15000000000000002</v>
      </c>
      <c r="K71" s="64"/>
      <c r="L71" s="67"/>
      <c r="M71" s="71">
        <f>C71*Labisoit!$J$8*'Ohusaaste (joonised)'!H71</f>
        <v>12.97884588352</v>
      </c>
      <c r="N71" s="116">
        <f>D71*Labisoit!$J$36*'Ohusaaste (joonised)'!I71</f>
        <v>0.67252661347714915</v>
      </c>
      <c r="O71" s="185">
        <f>E71*Labisoit!$J$65*J71</f>
        <v>0.15708179427004365</v>
      </c>
    </row>
    <row r="72" spans="1:49" x14ac:dyDescent="0.25">
      <c r="A72" s="85" t="str">
        <f t="shared" si="10"/>
        <v>Buss, gaas, etanool</v>
      </c>
      <c r="B72" s="85">
        <f t="shared" si="10"/>
        <v>0</v>
      </c>
      <c r="C72" s="85">
        <f t="shared" si="10"/>
        <v>8.0999999999999996E-3</v>
      </c>
      <c r="D72" s="86">
        <f t="shared" si="12"/>
        <v>8.0999999999999996E-3</v>
      </c>
      <c r="E72" s="180">
        <f t="shared" si="12"/>
        <v>6.0749999999999997E-3</v>
      </c>
      <c r="G72" s="69"/>
      <c r="H72" s="68">
        <f t="shared" si="13"/>
        <v>0.2</v>
      </c>
      <c r="I72" s="68">
        <f t="shared" si="11"/>
        <v>0.39999999999999997</v>
      </c>
      <c r="J72" s="142">
        <f>[7]Transport50VS!$U$57+[7]Transport50VS!$Z$57</f>
        <v>0.6</v>
      </c>
      <c r="K72" s="64"/>
      <c r="L72" s="67"/>
      <c r="M72" s="70">
        <f>C72*Labisoit!$J$8*'Ohusaaste (joonised)'!H72</f>
        <v>0.15715472255999999</v>
      </c>
      <c r="N72" s="120">
        <f>D72*Labisoit!$J$36*'Ohusaaste (joonised)'!I72</f>
        <v>0.30263697606471701</v>
      </c>
      <c r="O72" s="185">
        <f>E72*Labisoit!$J$65*J72</f>
        <v>0.33929667562329419</v>
      </c>
    </row>
    <row r="73" spans="1:49" x14ac:dyDescent="0.25">
      <c r="A73" s="85" t="str">
        <f t="shared" si="10"/>
        <v>Veoauto NB -Tonn-km kohta</v>
      </c>
      <c r="B73" s="85">
        <f t="shared" si="10"/>
        <v>0</v>
      </c>
      <c r="C73" s="85">
        <f t="shared" si="10"/>
        <v>1.6E-2</v>
      </c>
      <c r="D73" s="86">
        <f t="shared" si="12"/>
        <v>5.3333333333333332E-3</v>
      </c>
      <c r="E73" s="180">
        <f t="shared" si="12"/>
        <v>4.0000000000000001E-3</v>
      </c>
      <c r="G73" s="69"/>
      <c r="H73" s="68">
        <f t="shared" si="13"/>
        <v>0.87</v>
      </c>
      <c r="I73" s="68">
        <f t="shared" si="11"/>
        <v>0.73499999999999999</v>
      </c>
      <c r="J73" s="142">
        <f>[7]Transport50VS!$T$63</f>
        <v>0.72</v>
      </c>
      <c r="K73" s="64"/>
      <c r="L73" s="67"/>
      <c r="M73" s="71">
        <f>C73*Labisoit!$E$21*'Ohusaaste (joonised)'!H73</f>
        <v>88.9403705769829</v>
      </c>
      <c r="N73" s="116">
        <f>D73*Labisoit!$E$50*'Ohusaaste (joonised)'!I73</f>
        <v>30.907000051963241</v>
      </c>
      <c r="O73" s="185">
        <f>E73*Labisoit!$E$79*J73</f>
        <v>24.14999054090821</v>
      </c>
    </row>
    <row r="74" spans="1:49" x14ac:dyDescent="0.25">
      <c r="A74" s="67" t="s">
        <v>46</v>
      </c>
      <c r="B74" s="85">
        <f t="shared" ref="B74:E76" si="14">B27</f>
        <v>0</v>
      </c>
      <c r="C74" s="85">
        <f t="shared" si="14"/>
        <v>8.0000000000000004E-4</v>
      </c>
      <c r="D74" s="86">
        <f t="shared" si="14"/>
        <v>2.6666666666666668E-4</v>
      </c>
      <c r="E74" s="180">
        <f t="shared" si="14"/>
        <v>2.0000000000000001E-4</v>
      </c>
      <c r="G74" s="69"/>
      <c r="H74" s="68">
        <f t="shared" si="13"/>
        <v>0.05</v>
      </c>
      <c r="I74" s="68">
        <f t="shared" si="11"/>
        <v>0.25</v>
      </c>
      <c r="J74" s="142">
        <f>[7]Transport50VS!$U$63+[7]Transport50VS!$Z$63</f>
        <v>0.25</v>
      </c>
      <c r="K74" s="64"/>
      <c r="L74" s="67"/>
      <c r="M74" s="70">
        <f>C74*Labisoit!$E$21*'Ohusaaste (joonised)'!H74</f>
        <v>0.25557577752006583</v>
      </c>
      <c r="N74" s="120">
        <f>D74*Labisoit!$E$50*'Ohusaaste (joonised)'!I74</f>
        <v>0.52562925258440885</v>
      </c>
      <c r="O74" s="185">
        <f>E74*Labisoit!$E$79*J74</f>
        <v>0.41927066911298971</v>
      </c>
    </row>
    <row r="75" spans="1:49" x14ac:dyDescent="0.25">
      <c r="A75" s="85" t="str">
        <f>A28</f>
        <v>Reisirong, g/reisija-km</v>
      </c>
      <c r="B75" s="85">
        <f t="shared" si="14"/>
        <v>0</v>
      </c>
      <c r="C75" s="85">
        <f t="shared" si="14"/>
        <v>2E-3</v>
      </c>
      <c r="D75" s="86">
        <f t="shared" si="14"/>
        <v>2E-3</v>
      </c>
      <c r="E75" s="180">
        <f t="shared" si="14"/>
        <v>1.5E-3</v>
      </c>
      <c r="G75" s="69"/>
      <c r="H75" s="68">
        <f t="shared" si="13"/>
        <v>0.3</v>
      </c>
      <c r="I75" s="68">
        <f t="shared" si="11"/>
        <v>0.24999999999999997</v>
      </c>
      <c r="J75" s="142">
        <f>[7]Transport50VS!$T$58</f>
        <v>0</v>
      </c>
      <c r="K75" s="64"/>
      <c r="L75" s="67"/>
      <c r="M75" s="91">
        <f>C75*Labisoit!$E$9*H75</f>
        <v>0.45473010000000003</v>
      </c>
      <c r="N75" s="91">
        <f>D75*Labisoit!$E$37*I75</f>
        <v>0.4245748822456748</v>
      </c>
      <c r="O75" s="185">
        <f>E75*Labisoit!$E$66*J75</f>
        <v>0</v>
      </c>
    </row>
    <row r="76" spans="1:49" ht="13.8" thickBot="1" x14ac:dyDescent="0.3">
      <c r="A76" s="84" t="str">
        <f>A29</f>
        <v>Kaubarong, diisel, g/tonn-km</v>
      </c>
      <c r="B76" s="84">
        <f t="shared" si="14"/>
        <v>0</v>
      </c>
      <c r="C76" s="84">
        <f t="shared" si="14"/>
        <v>1.2E-2</v>
      </c>
      <c r="D76" s="86">
        <f t="shared" si="14"/>
        <v>1E-3</v>
      </c>
      <c r="E76" s="180">
        <f t="shared" si="14"/>
        <v>7.5000000000000002E-4</v>
      </c>
      <c r="G76" s="66"/>
      <c r="H76" s="68">
        <f t="shared" si="13"/>
        <v>1</v>
      </c>
      <c r="I76" s="68">
        <f t="shared" si="11"/>
        <v>0.85</v>
      </c>
      <c r="J76" s="142">
        <f>[7]Transport50VS!$T$64</f>
        <v>0.55000000000000004</v>
      </c>
      <c r="K76" s="64"/>
      <c r="L76" s="63"/>
      <c r="M76" s="62">
        <f>C76*Labisoit!$E$22*'Ohusaaste (joonised)'!H76</f>
        <v>86.460741756788224</v>
      </c>
      <c r="N76" s="117">
        <f>D76*Labisoit!$E$51*'Ohusaaste (joonised)'!I76</f>
        <v>5.9430816907774888</v>
      </c>
      <c r="O76" s="185">
        <f>E76*Labisoit!$E$80*J76</f>
        <v>3.0674000367653163</v>
      </c>
    </row>
    <row r="77" spans="1:49" s="81" customFormat="1" ht="13.8" thickBot="1" x14ac:dyDescent="0.3">
      <c r="B77" s="83"/>
      <c r="C77" s="83"/>
      <c r="D77" s="83"/>
      <c r="G77" s="82"/>
      <c r="I77" s="87"/>
      <c r="J77" s="130"/>
      <c r="L77" s="93">
        <v>499</v>
      </c>
      <c r="M77" s="58">
        <f>SUM(M69:M76)</f>
        <v>265.08727845757471</v>
      </c>
      <c r="N77" s="118">
        <f>SUM(N69:N76)</f>
        <v>86.263088609085813</v>
      </c>
      <c r="O77" s="186">
        <f>SUM(O69:O76)</f>
        <v>71.592336131391932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112" customFormat="1" ht="13.8" thickBot="1" x14ac:dyDescent="0.3">
      <c r="A78" s="110"/>
      <c r="B78" s="110"/>
      <c r="C78" s="110"/>
      <c r="D78" s="110"/>
      <c r="E78" s="109"/>
      <c r="G78" s="198" t="s">
        <v>48</v>
      </c>
      <c r="I78" s="195"/>
      <c r="J78" s="196"/>
      <c r="L78" s="262" t="s">
        <v>84</v>
      </c>
      <c r="M78" s="263"/>
      <c r="N78" s="263"/>
      <c r="O78" s="197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</row>
    <row r="79" spans="1:49" s="64" customFormat="1" ht="13.8" thickBot="1" x14ac:dyDescent="0.3">
      <c r="A79" s="106" t="s">
        <v>83</v>
      </c>
      <c r="B79" s="107">
        <v>2010</v>
      </c>
      <c r="C79" s="158">
        <v>2020</v>
      </c>
      <c r="D79" s="158">
        <v>2030</v>
      </c>
      <c r="E79" s="108">
        <v>2050</v>
      </c>
      <c r="G79" s="106">
        <v>2010</v>
      </c>
      <c r="H79" s="107">
        <v>2020</v>
      </c>
      <c r="I79" s="107">
        <v>2030</v>
      </c>
      <c r="J79" s="127">
        <v>2050</v>
      </c>
      <c r="L79" s="107">
        <v>2010</v>
      </c>
      <c r="M79" s="107">
        <v>2020</v>
      </c>
      <c r="N79" s="114">
        <v>2030</v>
      </c>
      <c r="O79" s="123">
        <v>2050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64" customFormat="1" x14ac:dyDescent="0.25">
      <c r="A80" s="73" t="s">
        <v>57</v>
      </c>
      <c r="B80" s="73"/>
      <c r="C80" s="160">
        <f t="shared" ref="C80:E87" si="15">C33</f>
        <v>9.3999999999999997E-4</v>
      </c>
      <c r="D80" s="160">
        <f t="shared" si="15"/>
        <v>9.3999999999999997E-4</v>
      </c>
      <c r="E80" s="177">
        <f t="shared" si="15"/>
        <v>7.0500000000000001E-4</v>
      </c>
      <c r="G80" s="75"/>
      <c r="H80" s="74">
        <f>H33</f>
        <v>0.71500000000000008</v>
      </c>
      <c r="I80" s="74">
        <f t="shared" ref="I80:I87" si="16">I69</f>
        <v>0.69000000000000006</v>
      </c>
      <c r="J80" s="142">
        <f>[7]Transport50VS!$S$56+[7]Transport50VS!$U$56+[7]Transport50VS!$V$56</f>
        <v>0.44999999999999996</v>
      </c>
      <c r="L80" s="73"/>
      <c r="M80" s="72">
        <f>C80*Labisoit!$J$7*H80</f>
        <v>4.797587619575582</v>
      </c>
      <c r="N80" s="115">
        <f>D80*Labisoit!$J$35*I80</f>
        <v>5.3058540478008211</v>
      </c>
      <c r="O80" s="185">
        <f>E80*Labisoit!$J$64*J80</f>
        <v>2.9891516070606836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64" customFormat="1" x14ac:dyDescent="0.25">
      <c r="A81" s="67" t="s">
        <v>56</v>
      </c>
      <c r="B81" s="67"/>
      <c r="C81" s="160">
        <f t="shared" si="15"/>
        <v>1.1000000000000001E-3</v>
      </c>
      <c r="D81" s="160">
        <f t="shared" si="15"/>
        <v>1E-3</v>
      </c>
      <c r="E81" s="177">
        <f t="shared" si="15"/>
        <v>7.5000000000000002E-4</v>
      </c>
      <c r="G81" s="69"/>
      <c r="H81" s="74">
        <f>H34</f>
        <v>0.28499999999999992</v>
      </c>
      <c r="I81" s="68">
        <f t="shared" si="16"/>
        <v>0.29500000000000004</v>
      </c>
      <c r="J81" s="142">
        <f>[7]Transport50VS!$T$56+[7]Transport50VS!$X$56</f>
        <v>0.35000000000000003</v>
      </c>
      <c r="L81" s="67"/>
      <c r="M81" s="72">
        <f>C81*Labisoit!$J$7*H81</f>
        <v>2.2378272857267438</v>
      </c>
      <c r="N81" s="115">
        <f>D81*Labisoit!$J$35*I81</f>
        <v>2.4132391984292982</v>
      </c>
      <c r="O81" s="185">
        <f>E81*Labisoit!$J$64*J81</f>
        <v>2.4732932918941835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64" customFormat="1" x14ac:dyDescent="0.25">
      <c r="A82" s="67" t="s">
        <v>55</v>
      </c>
      <c r="B82" s="67"/>
      <c r="C82" s="160">
        <f t="shared" si="15"/>
        <v>5.7000000000000002E-3</v>
      </c>
      <c r="D82" s="160">
        <f t="shared" si="15"/>
        <v>5.7000000000000002E-3</v>
      </c>
      <c r="E82" s="177">
        <f t="shared" si="15"/>
        <v>4.2750000000000002E-3</v>
      </c>
      <c r="G82" s="69"/>
      <c r="H82" s="68">
        <f t="shared" ref="H82:H87" si="17">H71</f>
        <v>0.78700000000000003</v>
      </c>
      <c r="I82" s="68">
        <f t="shared" si="16"/>
        <v>0.48000000000000009</v>
      </c>
      <c r="J82" s="142">
        <f>[7]Transport50VS!$T$57+[7]Transport50VS!$X$57</f>
        <v>0.15000000000000002</v>
      </c>
      <c r="L82" s="67"/>
      <c r="M82" s="71">
        <f>C82*Labisoit!$J$8*'Ohusaaste (joonised)'!H82</f>
        <v>0.43517306785920001</v>
      </c>
      <c r="N82" s="116">
        <f>D82*Labisoit!$J$36*'Ohusaaste (joonised)'!I82</f>
        <v>0.25556011312131666</v>
      </c>
      <c r="O82" s="185">
        <f>E82*Labisoit!$J$65*J82</f>
        <v>5.9691081822616593E-2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64" customFormat="1" x14ac:dyDescent="0.25">
      <c r="A83" s="67" t="s">
        <v>54</v>
      </c>
      <c r="B83" s="67"/>
      <c r="C83" s="160">
        <f t="shared" si="15"/>
        <v>3.5E-4</v>
      </c>
      <c r="D83" s="160">
        <f t="shared" si="15"/>
        <v>3.5E-4</v>
      </c>
      <c r="E83" s="177">
        <f t="shared" si="15"/>
        <v>2.6249999999999998E-4</v>
      </c>
      <c r="G83" s="69"/>
      <c r="H83" s="68">
        <f t="shared" si="17"/>
        <v>0.2</v>
      </c>
      <c r="I83" s="68">
        <f t="shared" si="16"/>
        <v>0.39999999999999997</v>
      </c>
      <c r="J83" s="142">
        <f>[7]Transport50VS!$U$57+[7]Transport50VS!$Z$57</f>
        <v>0.6</v>
      </c>
      <c r="L83" s="67"/>
      <c r="M83" s="70">
        <f>C83*Labisoit!$J$8*'Ohusaaste (joonised)'!H83</f>
        <v>6.7906361599999994E-3</v>
      </c>
      <c r="N83" s="120">
        <f>D83*Labisoit!$J$36*'Ohusaaste (joonised)'!I83</f>
        <v>1.3076906373166785E-2</v>
      </c>
      <c r="O83" s="185">
        <f>E83*Labisoit!$J$65*J83</f>
        <v>1.466096746520407E-2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64" customFormat="1" x14ac:dyDescent="0.25">
      <c r="A84" s="67" t="s">
        <v>53</v>
      </c>
      <c r="B84" s="67"/>
      <c r="C84" s="160">
        <f t="shared" si="15"/>
        <v>7.5000000000000002E-4</v>
      </c>
      <c r="D84" s="160">
        <f t="shared" si="15"/>
        <v>7.3999999999999999E-4</v>
      </c>
      <c r="E84" s="177">
        <f t="shared" si="15"/>
        <v>5.5499999999999994E-4</v>
      </c>
      <c r="G84" s="69"/>
      <c r="H84" s="68">
        <f t="shared" si="17"/>
        <v>0.87</v>
      </c>
      <c r="I84" s="68">
        <f t="shared" si="16"/>
        <v>0.73499999999999999</v>
      </c>
      <c r="J84" s="142">
        <f>[7]Transport50VS!$T$63</f>
        <v>0.72</v>
      </c>
      <c r="L84" s="67"/>
      <c r="M84" s="71">
        <f>C84*Labisoit!$E$21*'Ohusaaste (joonised)'!H84</f>
        <v>4.1690798707960735</v>
      </c>
      <c r="N84" s="116">
        <f>D84*Labisoit!$E$50*'Ohusaaste (joonised)'!I84</f>
        <v>4.2883462572098994</v>
      </c>
      <c r="O84" s="185">
        <f>E84*Labisoit!$E$79*J84</f>
        <v>3.3508111875510136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64" customFormat="1" x14ac:dyDescent="0.25">
      <c r="A85" s="67" t="s">
        <v>46</v>
      </c>
      <c r="B85" s="67"/>
      <c r="C85" s="160">
        <f t="shared" si="15"/>
        <v>4.5000000000000003E-5</v>
      </c>
      <c r="D85" s="160">
        <f t="shared" si="15"/>
        <v>4.5000000000000003E-5</v>
      </c>
      <c r="E85" s="177">
        <f t="shared" si="15"/>
        <v>3.375E-5</v>
      </c>
      <c r="G85" s="69"/>
      <c r="H85" s="68">
        <f t="shared" si="17"/>
        <v>0.05</v>
      </c>
      <c r="I85" s="68">
        <f t="shared" si="16"/>
        <v>0.25</v>
      </c>
      <c r="J85" s="142">
        <f>[7]Transport50VS!$U$63+[7]Transport50VS!$Z$63</f>
        <v>0.25</v>
      </c>
      <c r="L85" s="67"/>
      <c r="M85" s="70">
        <f>C85*Labisoit!$E$21*'Ohusaaste (joonised)'!H85</f>
        <v>1.4376137485503702E-2</v>
      </c>
      <c r="N85" s="120">
        <f>D85*Labisoit!$E$50*'Ohusaaste (joonised)'!I85</f>
        <v>8.869993637361899E-2</v>
      </c>
      <c r="O85" s="185">
        <f>E85*Labisoit!$E$79*J85</f>
        <v>7.075192541281701E-2</v>
      </c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64" customFormat="1" x14ac:dyDescent="0.25">
      <c r="A86" s="67" t="s">
        <v>52</v>
      </c>
      <c r="B86" s="67"/>
      <c r="C86" s="160">
        <f t="shared" si="15"/>
        <v>4.8000000000000001E-4</v>
      </c>
      <c r="D86" s="160">
        <f t="shared" si="15"/>
        <v>4.8000000000000001E-4</v>
      </c>
      <c r="E86" s="177">
        <f t="shared" si="15"/>
        <v>3.6000000000000002E-4</v>
      </c>
      <c r="G86" s="69"/>
      <c r="H86" s="68">
        <f t="shared" si="17"/>
        <v>0.3</v>
      </c>
      <c r="I86" s="68">
        <f t="shared" si="16"/>
        <v>0.24999999999999997</v>
      </c>
      <c r="J86" s="142">
        <f>[7]Transport50VS!$T$58</f>
        <v>0</v>
      </c>
      <c r="L86" s="67"/>
      <c r="M86" s="91">
        <f>C86*Labisoit!$E$9*H86</f>
        <v>0.109135224</v>
      </c>
      <c r="N86" s="91">
        <f>D86*Labisoit!$E$37*I86</f>
        <v>0.10189797173896195</v>
      </c>
      <c r="O86" s="185">
        <f>E86*Labisoit!$E$66*J86</f>
        <v>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</row>
    <row r="87" spans="1:49" s="64" customFormat="1" ht="13.8" thickBot="1" x14ac:dyDescent="0.3">
      <c r="A87" s="63" t="s">
        <v>51</v>
      </c>
      <c r="B87" s="63"/>
      <c r="C87" s="160">
        <f t="shared" si="15"/>
        <v>1.7000000000000001E-4</v>
      </c>
      <c r="D87" s="160">
        <f t="shared" si="15"/>
        <v>1.7000000000000001E-4</v>
      </c>
      <c r="E87" s="177">
        <f t="shared" si="15"/>
        <v>1.2750000000000001E-4</v>
      </c>
      <c r="G87" s="66"/>
      <c r="H87" s="68">
        <f t="shared" si="17"/>
        <v>1</v>
      </c>
      <c r="I87" s="68">
        <f t="shared" si="16"/>
        <v>0.85</v>
      </c>
      <c r="J87" s="142">
        <f>[7]Transport50VS!$T$64</f>
        <v>0.55000000000000004</v>
      </c>
      <c r="L87" s="63"/>
      <c r="M87" s="62">
        <f>C87*Labisoit!$E$22*'Ohusaaste (joonised)'!H87</f>
        <v>1.2248605082211665</v>
      </c>
      <c r="N87" s="117">
        <f>D87*Labisoit!$E$51*'Ohusaaste (joonised)'!I87</f>
        <v>1.0103238874321732</v>
      </c>
      <c r="O87" s="185">
        <f>E87*Labisoit!$E$80*J87</f>
        <v>0.52145800625010386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1:49" s="64" customFormat="1" ht="13.8" thickBot="1" x14ac:dyDescent="0.3">
      <c r="A88" s="89"/>
      <c r="B88" s="57"/>
      <c r="C88" s="159"/>
      <c r="D88" s="159"/>
      <c r="E88" s="159"/>
      <c r="G88" s="82"/>
      <c r="H88" s="81"/>
      <c r="I88" s="87"/>
      <c r="J88" s="130"/>
      <c r="L88" s="93">
        <f>L41</f>
        <v>76</v>
      </c>
      <c r="M88" s="58">
        <f>SUM(M80:M87)</f>
        <v>12.994830349824268</v>
      </c>
      <c r="N88" s="118">
        <f>SUM(N80:N87)</f>
        <v>13.476998318479257</v>
      </c>
      <c r="O88" s="186">
        <f>SUM(O80:O87)</f>
        <v>9.4798180674566215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1:49" s="64" customFormat="1" ht="13.8" thickBot="1" x14ac:dyDescent="0.3">
      <c r="A89" s="110"/>
      <c r="B89" s="110"/>
      <c r="C89" s="110"/>
      <c r="D89" s="110"/>
      <c r="E89" s="109"/>
      <c r="G89" s="198" t="s">
        <v>48</v>
      </c>
      <c r="H89" s="112"/>
      <c r="I89" s="195"/>
      <c r="J89" s="196"/>
      <c r="L89" s="262" t="s">
        <v>86</v>
      </c>
      <c r="M89" s="263"/>
      <c r="N89" s="263"/>
      <c r="O89" s="19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1:49" s="64" customFormat="1" ht="13.8" thickBot="1" x14ac:dyDescent="0.3">
      <c r="A90" s="106" t="s">
        <v>85</v>
      </c>
      <c r="B90" s="107">
        <v>2010</v>
      </c>
      <c r="C90" s="158">
        <v>2020</v>
      </c>
      <c r="D90" s="158">
        <v>2030</v>
      </c>
      <c r="E90" s="108">
        <v>2050</v>
      </c>
      <c r="G90" s="106">
        <v>2010</v>
      </c>
      <c r="H90" s="107">
        <v>2020</v>
      </c>
      <c r="I90" s="107">
        <v>2030</v>
      </c>
      <c r="J90" s="127">
        <v>2050</v>
      </c>
      <c r="L90" s="107">
        <v>2010</v>
      </c>
      <c r="M90" s="107">
        <v>2020</v>
      </c>
      <c r="N90" s="114">
        <v>2030</v>
      </c>
      <c r="O90" s="123">
        <v>2050</v>
      </c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</row>
    <row r="91" spans="1:49" s="64" customFormat="1" x14ac:dyDescent="0.25">
      <c r="A91" s="73" t="s">
        <v>57</v>
      </c>
      <c r="B91" s="73"/>
      <c r="C91" s="67">
        <f t="shared" ref="C91:E98" si="18">C44</f>
        <v>0.17</v>
      </c>
      <c r="D91" s="67">
        <f t="shared" si="18"/>
        <v>1.2999999999999999E-2</v>
      </c>
      <c r="E91" s="181">
        <f t="shared" si="18"/>
        <v>9.75E-3</v>
      </c>
      <c r="G91" s="75"/>
      <c r="H91" s="74">
        <f>H44</f>
        <v>0.71500000000000008</v>
      </c>
      <c r="I91" s="74">
        <f t="shared" ref="I91:I98" si="19">I80</f>
        <v>0.69000000000000006</v>
      </c>
      <c r="J91" s="142">
        <f>[7]Transport50VS!$S$56+[7]Transport50VS!$U$56+[7]Transport50VS!$V$56</f>
        <v>0.44999999999999996</v>
      </c>
      <c r="L91" s="73"/>
      <c r="M91" s="72">
        <f>C91*Labisoit!$J$7*H91</f>
        <v>867.64882481686072</v>
      </c>
      <c r="N91" s="115">
        <f>D91*Labisoit!$J$35*I91</f>
        <v>73.378832575968815</v>
      </c>
      <c r="O91" s="185">
        <f>E91*Labisoit!$J$64*J91</f>
        <v>41.339330735945623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49" s="64" customFormat="1" x14ac:dyDescent="0.25">
      <c r="A92" s="67" t="s">
        <v>56</v>
      </c>
      <c r="B92" s="67"/>
      <c r="C92" s="67">
        <f t="shared" si="18"/>
        <v>0.17</v>
      </c>
      <c r="D92" s="67">
        <f t="shared" si="18"/>
        <v>0.11</v>
      </c>
      <c r="E92" s="181">
        <f t="shared" si="18"/>
        <v>8.2500000000000004E-2</v>
      </c>
      <c r="G92" s="69"/>
      <c r="H92" s="74">
        <f>H45</f>
        <v>0.28499999999999992</v>
      </c>
      <c r="I92" s="68">
        <f t="shared" si="19"/>
        <v>0.29500000000000004</v>
      </c>
      <c r="J92" s="142">
        <f>[7]Transport50VS!$T$56+[7]Transport50VS!$X$56</f>
        <v>0.35000000000000003</v>
      </c>
      <c r="L92" s="67"/>
      <c r="M92" s="72">
        <f>C92*Labisoit!$J$7*H92</f>
        <v>345.8460350668604</v>
      </c>
      <c r="N92" s="115">
        <f>D92*Labisoit!$J$35*I92</f>
        <v>265.45631182722275</v>
      </c>
      <c r="O92" s="185">
        <f>E92*Labisoit!$J$64*J92</f>
        <v>272.06226210836019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49" s="64" customFormat="1" x14ac:dyDescent="0.25">
      <c r="A93" s="67" t="s">
        <v>55</v>
      </c>
      <c r="B93" s="67"/>
      <c r="C93" s="67">
        <f t="shared" si="18"/>
        <v>0.13</v>
      </c>
      <c r="D93" s="67">
        <f t="shared" si="18"/>
        <v>5.8000000000000003E-2</v>
      </c>
      <c r="E93" s="181">
        <f t="shared" si="18"/>
        <v>4.3500000000000004E-2</v>
      </c>
      <c r="G93" s="69"/>
      <c r="H93" s="68">
        <f t="shared" ref="H93:H98" si="20">H82</f>
        <v>0.78700000000000003</v>
      </c>
      <c r="I93" s="68">
        <f t="shared" si="19"/>
        <v>0.48000000000000009</v>
      </c>
      <c r="J93" s="142">
        <f>[7]Transport50VS!$T$57+[7]Transport50VS!$X$57</f>
        <v>0.15000000000000002</v>
      </c>
      <c r="L93" s="67"/>
      <c r="M93" s="71">
        <f>C93*Labisoit!$J$8*'Ohusaaste (joonised)'!H93</f>
        <v>9.9249997932799996</v>
      </c>
      <c r="N93" s="116">
        <f>D93*Labisoit!$J$36*'Ohusaaste (joonised)'!I93</f>
        <v>2.6004362387783102</v>
      </c>
      <c r="O93" s="185">
        <f>E93*Labisoit!$J$65*J93</f>
        <v>0.60738293784416886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49" s="64" customFormat="1" x14ac:dyDescent="0.25">
      <c r="A94" s="67" t="s">
        <v>54</v>
      </c>
      <c r="B94" s="67"/>
      <c r="C94" s="67">
        <f t="shared" si="18"/>
        <v>0.81</v>
      </c>
      <c r="D94" s="67">
        <f t="shared" si="18"/>
        <v>0.4</v>
      </c>
      <c r="E94" s="181">
        <f t="shared" si="18"/>
        <v>0.30000000000000004</v>
      </c>
      <c r="G94" s="69"/>
      <c r="H94" s="68">
        <f t="shared" si="20"/>
        <v>0.2</v>
      </c>
      <c r="I94" s="68">
        <f t="shared" si="19"/>
        <v>0.39999999999999997</v>
      </c>
      <c r="J94" s="142">
        <f>[7]Transport50VS!$U$57+[7]Transport50VS!$Z$57</f>
        <v>0.6</v>
      </c>
      <c r="L94" s="67"/>
      <c r="M94" s="70">
        <f>C94*Labisoit!$J$8*'Ohusaaste (joonised)'!H94</f>
        <v>15.715472256000002</v>
      </c>
      <c r="N94" s="120">
        <f>D94*Labisoit!$J$36*'Ohusaaste (joonised)'!I94</f>
        <v>14.945035855047756</v>
      </c>
      <c r="O94" s="185">
        <f>E94*Labisoit!$J$65*J94</f>
        <v>16.755391388804657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49" s="64" customFormat="1" x14ac:dyDescent="0.25">
      <c r="A95" s="67" t="s">
        <v>53</v>
      </c>
      <c r="B95" s="67"/>
      <c r="C95" s="67">
        <f t="shared" si="18"/>
        <v>4.2000000000000003E-2</v>
      </c>
      <c r="D95" s="67">
        <f t="shared" si="18"/>
        <v>2.2000000000000001E-3</v>
      </c>
      <c r="E95" s="181">
        <f t="shared" si="18"/>
        <v>1.65E-3</v>
      </c>
      <c r="G95" s="69"/>
      <c r="H95" s="68">
        <f t="shared" si="20"/>
        <v>0.87</v>
      </c>
      <c r="I95" s="68">
        <f t="shared" si="19"/>
        <v>0.73499999999999999</v>
      </c>
      <c r="J95" s="142">
        <f>[7]Transport50VS!$T$63</f>
        <v>0.72</v>
      </c>
      <c r="L95" s="67"/>
      <c r="M95" s="71">
        <f>C95*Labisoit!$E$21*'Ohusaaste (joonised)'!H95</f>
        <v>233.46847276458013</v>
      </c>
      <c r="N95" s="116">
        <f>D95*Labisoit!$E$50*'Ohusaaste (joonised)'!I95</f>
        <v>12.749137521434836</v>
      </c>
      <c r="O95" s="185">
        <f>E95*Labisoit!$E$79*J95</f>
        <v>9.9618710981246359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</row>
    <row r="96" spans="1:49" s="64" customFormat="1" x14ac:dyDescent="0.25">
      <c r="A96" s="67" t="s">
        <v>46</v>
      </c>
      <c r="B96" s="67"/>
      <c r="C96" s="67">
        <f t="shared" si="18"/>
        <v>0.252</v>
      </c>
      <c r="D96" s="67">
        <f t="shared" si="18"/>
        <v>0.126</v>
      </c>
      <c r="E96" s="181">
        <f t="shared" si="18"/>
        <v>9.4500000000000001E-2</v>
      </c>
      <c r="G96" s="69"/>
      <c r="H96" s="68">
        <f t="shared" si="20"/>
        <v>0.05</v>
      </c>
      <c r="I96" s="68">
        <f t="shared" si="19"/>
        <v>0.25</v>
      </c>
      <c r="J96" s="142">
        <f>[7]Transport50VS!$U$63+[7]Transport50VS!$Z$63</f>
        <v>0.25</v>
      </c>
      <c r="L96" s="67"/>
      <c r="M96" s="70">
        <f>C96*Labisoit!$E$21*'Ohusaaste (joonised)'!H96</f>
        <v>80.506369918820724</v>
      </c>
      <c r="N96" s="120">
        <f>D96*Labisoit!$E$50*'Ohusaaste (joonised)'!I96</f>
        <v>248.35982184613317</v>
      </c>
      <c r="O96" s="185">
        <f>E96*Labisoit!$E$79*J96</f>
        <v>198.10539115588765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</row>
    <row r="97" spans="1:49" s="64" customFormat="1" x14ac:dyDescent="0.25">
      <c r="A97" s="67" t="s">
        <v>52</v>
      </c>
      <c r="B97" s="67"/>
      <c r="C97" s="67">
        <f t="shared" si="18"/>
        <v>7.1999999999999998E-3</v>
      </c>
      <c r="D97" s="67">
        <f t="shared" si="18"/>
        <v>7.1999999999999998E-3</v>
      </c>
      <c r="E97" s="181">
        <f t="shared" si="18"/>
        <v>5.4000000000000003E-3</v>
      </c>
      <c r="G97" s="69"/>
      <c r="H97" s="68">
        <f t="shared" si="20"/>
        <v>0.3</v>
      </c>
      <c r="I97" s="68">
        <f t="shared" si="19"/>
        <v>0.24999999999999997</v>
      </c>
      <c r="J97" s="142">
        <f>[7]Transport50VS!$T$58</f>
        <v>0</v>
      </c>
      <c r="L97" s="67"/>
      <c r="M97" s="91">
        <f>C97*Labisoit!$E$9*H97</f>
        <v>1.63702836</v>
      </c>
      <c r="N97" s="91">
        <f>D97*Labisoit!$E$37*I97</f>
        <v>1.5284695760844293</v>
      </c>
      <c r="O97" s="185">
        <f>E97*Labisoit!$E$66*J97</f>
        <v>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</row>
    <row r="98" spans="1:49" s="64" customFormat="1" ht="13.8" thickBot="1" x14ac:dyDescent="0.3">
      <c r="A98" s="63" t="s">
        <v>51</v>
      </c>
      <c r="B98" s="63"/>
      <c r="C98" s="67">
        <f t="shared" si="18"/>
        <v>3.6999999999999998E-2</v>
      </c>
      <c r="D98" s="67">
        <f t="shared" si="18"/>
        <v>3.6999999999999998E-2</v>
      </c>
      <c r="E98" s="181">
        <f t="shared" si="18"/>
        <v>2.7749999999999997E-2</v>
      </c>
      <c r="G98" s="66"/>
      <c r="H98" s="68">
        <f t="shared" si="20"/>
        <v>1</v>
      </c>
      <c r="I98" s="68">
        <f t="shared" si="19"/>
        <v>0.85</v>
      </c>
      <c r="J98" s="142">
        <f>[7]Transport50VS!$T$64</f>
        <v>0.55000000000000004</v>
      </c>
      <c r="L98" s="63"/>
      <c r="M98" s="62">
        <f>C98*Labisoit!$E$22*'Ohusaaste (joonised)'!H98</f>
        <v>266.58728708343034</v>
      </c>
      <c r="N98" s="117">
        <f>D98*Labisoit!$E$51*'Ohusaaste (joonised)'!I98</f>
        <v>219.89402255876706</v>
      </c>
      <c r="O98" s="185">
        <f>E98*Labisoit!$E$80*J98</f>
        <v>113.4938013603167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</row>
    <row r="99" spans="1:49" s="64" customFormat="1" ht="13.8" thickBot="1" x14ac:dyDescent="0.3">
      <c r="A99" s="89"/>
      <c r="B99" s="57"/>
      <c r="C99" s="159"/>
      <c r="D99" s="159"/>
      <c r="E99" s="57"/>
      <c r="G99" s="82"/>
      <c r="H99" s="81"/>
      <c r="I99" s="87"/>
      <c r="J99" s="130"/>
      <c r="L99" s="57">
        <v>2578</v>
      </c>
      <c r="M99" s="58">
        <f>SUM(M91:M98)</f>
        <v>1821.3344900598324</v>
      </c>
      <c r="N99" s="118">
        <f>SUM(N91:N98)</f>
        <v>838.91206799943711</v>
      </c>
      <c r="O99" s="186">
        <f>SUM(O91:O98)</f>
        <v>652.32543078528352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</row>
    <row r="100" spans="1:49" s="64" customFormat="1" x14ac:dyDescent="0.25">
      <c r="G100" s="131"/>
      <c r="I100" s="169"/>
      <c r="J100" s="170"/>
      <c r="L100" s="171"/>
      <c r="M100" s="105"/>
      <c r="N100" s="105"/>
      <c r="O100" s="105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</row>
    <row r="101" spans="1:49" s="64" customFormat="1" ht="13.8" thickBot="1" x14ac:dyDescent="0.3">
      <c r="G101" s="131"/>
      <c r="I101" s="169"/>
      <c r="J101" s="170"/>
      <c r="L101" s="171"/>
      <c r="M101" s="105"/>
      <c r="N101" s="105"/>
      <c r="O101" s="105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</row>
    <row r="102" spans="1:49" s="164" customFormat="1" ht="13.8" thickBot="1" x14ac:dyDescent="0.3">
      <c r="A102" s="165" t="s">
        <v>41</v>
      </c>
      <c r="B102" s="163"/>
      <c r="C102" s="163"/>
      <c r="D102" s="163"/>
      <c r="G102" s="200"/>
      <c r="H102" s="163"/>
      <c r="I102" s="163"/>
      <c r="J102" s="201"/>
      <c r="K102" s="163"/>
      <c r="L102" s="163"/>
      <c r="M102" s="163"/>
      <c r="N102" s="163"/>
      <c r="O102" s="163"/>
    </row>
    <row r="103" spans="1:49" s="164" customFormat="1" x14ac:dyDescent="0.25">
      <c r="A103" s="165" t="s">
        <v>41</v>
      </c>
      <c r="B103" s="163"/>
      <c r="C103" s="163"/>
      <c r="D103" s="163"/>
      <c r="G103" s="165" t="s">
        <v>41</v>
      </c>
      <c r="H103" s="166"/>
      <c r="I103" s="166"/>
      <c r="J103" s="167"/>
      <c r="K103" s="168"/>
      <c r="L103" s="168" t="s">
        <v>41</v>
      </c>
      <c r="M103" s="166"/>
      <c r="N103" s="167"/>
      <c r="O103" s="163"/>
    </row>
    <row r="104" spans="1:49" s="109" customFormat="1" ht="13.8" thickBot="1" x14ac:dyDescent="0.3">
      <c r="G104" s="198" t="s">
        <v>48</v>
      </c>
      <c r="H104" s="112"/>
      <c r="I104" s="112"/>
      <c r="J104" s="199"/>
      <c r="K104" s="112"/>
      <c r="L104" s="263" t="s">
        <v>47</v>
      </c>
      <c r="M104" s="263"/>
      <c r="N104" s="270"/>
      <c r="O104" s="259"/>
    </row>
    <row r="105" spans="1:49" s="57" customFormat="1" ht="13.8" thickBot="1" x14ac:dyDescent="0.3">
      <c r="A105" s="61" t="str">
        <f t="shared" ref="A105:E110" si="21">A10</f>
        <v xml:space="preserve">NOx </v>
      </c>
      <c r="B105" s="60">
        <f t="shared" si="21"/>
        <v>2010</v>
      </c>
      <c r="C105" s="60">
        <f t="shared" si="21"/>
        <v>2020</v>
      </c>
      <c r="D105" s="60">
        <f t="shared" si="21"/>
        <v>2030</v>
      </c>
      <c r="E105" s="108">
        <v>2050</v>
      </c>
      <c r="G105" s="61">
        <v>2010</v>
      </c>
      <c r="H105" s="60">
        <v>2020</v>
      </c>
      <c r="I105" s="60">
        <v>2030</v>
      </c>
      <c r="J105" s="127">
        <v>2050</v>
      </c>
      <c r="L105" s="61">
        <v>2010</v>
      </c>
      <c r="M105" s="60">
        <v>2020</v>
      </c>
      <c r="N105" s="119">
        <v>2030</v>
      </c>
      <c r="O105" s="125">
        <v>2050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</row>
    <row r="106" spans="1:49" x14ac:dyDescent="0.25">
      <c r="A106" s="73" t="str">
        <f t="shared" si="21"/>
        <v>Sõiduauto, bensiin, gaas, etanool - sõiduki-km</v>
      </c>
      <c r="B106" s="73">
        <f t="shared" si="21"/>
        <v>0</v>
      </c>
      <c r="C106" s="73">
        <f t="shared" si="21"/>
        <v>0.33</v>
      </c>
      <c r="D106" s="73">
        <f t="shared" si="21"/>
        <v>0.12666666666666668</v>
      </c>
      <c r="E106" s="179">
        <f t="shared" si="21"/>
        <v>9.5000000000000001E-2</v>
      </c>
      <c r="G106" s="75"/>
      <c r="H106" s="79">
        <f>[2]TransportB_EE!$S$56+[2]TransportB_EE!$U$56+[2]TransportB_EE!$V$56+[2]TransportB_EE!$Z$56</f>
        <v>0.74</v>
      </c>
      <c r="I106" s="79">
        <f>[6]Transport30B_EE!$S$56+[6]Transport30B_EE!$U$56+[6]Transport30B_EE!$V$56+[6]Transport30B_EE!$Z$56</f>
        <v>0.7</v>
      </c>
      <c r="J106" s="142">
        <f>[7]TransportB_EE!$S$56+[7]TransportB_EE!$U$56+[7]TransportB_EE!$V$56+[7]TransportB_EE!$Z$56</f>
        <v>0.57000000000000006</v>
      </c>
      <c r="K106" s="64"/>
      <c r="L106" s="75"/>
      <c r="M106" s="72">
        <f>C106*Labisoit!$I$7*H106</f>
        <v>1663.6232097135794</v>
      </c>
      <c r="N106" s="115">
        <f>D106*Labisoit!$I$35*I106</f>
        <v>574.14103394585572</v>
      </c>
      <c r="O106" s="185">
        <f>E106*Labisoit!$I$64*J106</f>
        <v>349.25807387208806</v>
      </c>
    </row>
    <row r="107" spans="1:49" x14ac:dyDescent="0.25">
      <c r="A107" s="67" t="str">
        <f t="shared" si="21"/>
        <v>Sõiduauto, diisel, biodiisel</v>
      </c>
      <c r="B107" s="67">
        <f t="shared" si="21"/>
        <v>0</v>
      </c>
      <c r="C107" s="67">
        <f t="shared" si="21"/>
        <v>0.53</v>
      </c>
      <c r="D107" s="73">
        <f t="shared" ref="D107:E110" si="22">D12</f>
        <v>0.2</v>
      </c>
      <c r="E107" s="179">
        <f t="shared" si="22"/>
        <v>0.15000000000000002</v>
      </c>
      <c r="G107" s="69"/>
      <c r="H107" s="78">
        <f>[2]TransportB_EE!$T$56</f>
        <v>0.255</v>
      </c>
      <c r="I107" s="78">
        <f>[6]Transport30B_EE!$T$56</f>
        <v>0.22999999999999998</v>
      </c>
      <c r="J107" s="142">
        <f>[7]TransportB_EE!$T$56</f>
        <v>0.17999999999999994</v>
      </c>
      <c r="K107" s="64"/>
      <c r="L107" s="69"/>
      <c r="M107" s="72">
        <f>C107*Labisoit!$I$7*H107</f>
        <v>920.71530218177827</v>
      </c>
      <c r="N107" s="115">
        <f>D107*Labisoit!$I$35*I107</f>
        <v>297.86264167115826</v>
      </c>
      <c r="O107" s="185">
        <f>E107*Labisoit!$I$64*J107</f>
        <v>174.14529999162281</v>
      </c>
    </row>
    <row r="108" spans="1:49" x14ac:dyDescent="0.25">
      <c r="A108" s="67" t="str">
        <f t="shared" si="21"/>
        <v>Buss, diisel, biodiisel - sõiduki-km</v>
      </c>
      <c r="B108" s="67">
        <f t="shared" si="21"/>
        <v>0</v>
      </c>
      <c r="C108" s="67">
        <f t="shared" si="21"/>
        <v>7.1</v>
      </c>
      <c r="D108" s="73">
        <f t="shared" si="22"/>
        <v>3.55</v>
      </c>
      <c r="E108" s="179">
        <f t="shared" si="22"/>
        <v>2.6624999999999996</v>
      </c>
      <c r="G108" s="69"/>
      <c r="H108" s="78">
        <f>[2]TransportB_EE!$T$57</f>
        <v>0.78500000000000003</v>
      </c>
      <c r="I108" s="78">
        <f>[6]Transport30B_EE!$T$57</f>
        <v>0.40000000000000008</v>
      </c>
      <c r="J108" s="142">
        <f>[7]TransportB_EE!$T$57</f>
        <v>0</v>
      </c>
      <c r="K108" s="64"/>
      <c r="L108" s="69"/>
      <c r="M108" s="71">
        <f>C108*Labisoit!$I$8*'Ohusaaste (joonised)'!H108</f>
        <v>519.58554882280373</v>
      </c>
      <c r="N108" s="116">
        <f>D108*Labisoit!$I$36*'Ohusaaste (joonised)'!I108</f>
        <v>118.67538340159633</v>
      </c>
      <c r="O108" s="185">
        <f>E108*Labisoit!$I$65*J108</f>
        <v>0</v>
      </c>
    </row>
    <row r="109" spans="1:49" x14ac:dyDescent="0.25">
      <c r="A109" s="67" t="str">
        <f t="shared" si="21"/>
        <v>Buss, gaas</v>
      </c>
      <c r="B109" s="67">
        <f t="shared" si="21"/>
        <v>0</v>
      </c>
      <c r="C109" s="67">
        <f t="shared" si="21"/>
        <v>2.1</v>
      </c>
      <c r="D109" s="73">
        <f t="shared" si="22"/>
        <v>0.7</v>
      </c>
      <c r="E109" s="179">
        <f t="shared" si="22"/>
        <v>0.52499999999999991</v>
      </c>
      <c r="G109" s="69"/>
      <c r="H109" s="78">
        <f>[2]TransportB_EE!$Z$57</f>
        <v>0.15</v>
      </c>
      <c r="I109" s="78">
        <f>[6]Transport30B_EE!$U$57+[6]Transport30B_EE!$Z$57</f>
        <v>0.39999999999999997</v>
      </c>
      <c r="J109" s="142">
        <f>[7]TransportB_EE!$U$57+[7]TransportB_EE!$Z$57</f>
        <v>0.65</v>
      </c>
      <c r="K109" s="64"/>
      <c r="L109" s="69"/>
      <c r="M109" s="71">
        <f>C109*Labisoit!$I$8*'Ohusaaste (joonised)'!H109</f>
        <v>29.365649570141414</v>
      </c>
      <c r="N109" s="116">
        <f>D109*Labisoit!$I$36*'Ohusaaste (joonised)'!I109</f>
        <v>23.400779825666877</v>
      </c>
      <c r="O109" s="185">
        <f>E109*Labisoit!$I$65*J109</f>
        <v>25.579225182703457</v>
      </c>
    </row>
    <row r="110" spans="1:49" x14ac:dyDescent="0.25">
      <c r="A110" s="67" t="str">
        <f t="shared" si="21"/>
        <v>Veoauto, diisel NB -Tonn-km kohta</v>
      </c>
      <c r="B110" s="67">
        <f t="shared" si="21"/>
        <v>0</v>
      </c>
      <c r="C110" s="67">
        <f t="shared" si="21"/>
        <v>0.7</v>
      </c>
      <c r="D110" s="73">
        <f t="shared" si="22"/>
        <v>0.35</v>
      </c>
      <c r="E110" s="179">
        <f t="shared" si="22"/>
        <v>0.26249999999999996</v>
      </c>
      <c r="G110" s="69"/>
      <c r="H110" s="78">
        <f>[2]TransportB_EE!$T$63</f>
        <v>0.88</v>
      </c>
      <c r="I110" s="78">
        <f>[6]Transport30B_EE!$T$63</f>
        <v>0.64999999999999991</v>
      </c>
      <c r="J110" s="142">
        <f>[7]TransportB_EE!$T$63</f>
        <v>0.5</v>
      </c>
      <c r="K110" s="64"/>
      <c r="L110" s="69"/>
      <c r="M110" s="71">
        <f>C110*Labisoit!$D$21*'Ohusaaste (joonised)'!H110</f>
        <v>3600.8995717827147</v>
      </c>
      <c r="N110" s="116">
        <f>D110*Labisoit!$D$50*'Ohusaaste (joonised)'!I110</f>
        <v>1266.1489922413405</v>
      </c>
      <c r="O110" s="185">
        <f>E110*Labisoit!$D$79*J110</f>
        <v>699.14731745703023</v>
      </c>
    </row>
    <row r="111" spans="1:49" x14ac:dyDescent="0.25">
      <c r="A111" s="67" t="s">
        <v>46</v>
      </c>
      <c r="B111" s="67">
        <f t="shared" ref="B111:E113" si="23">B16</f>
        <v>0</v>
      </c>
      <c r="C111" s="67">
        <f t="shared" si="23"/>
        <v>0.25</v>
      </c>
      <c r="D111" s="73">
        <f t="shared" si="23"/>
        <v>0.125</v>
      </c>
      <c r="E111" s="179">
        <f t="shared" si="23"/>
        <v>9.375E-2</v>
      </c>
      <c r="G111" s="69"/>
      <c r="H111" s="78">
        <f>[2]TransportB_EE!$Z$63</f>
        <v>0.08</v>
      </c>
      <c r="I111" s="78">
        <f>[6]Transport30B_EE!$U$63+[6]Transport30B_EE!$Z$63</f>
        <v>0.30000000000000004</v>
      </c>
      <c r="J111" s="142">
        <f>[7]TransportB_EE!$U$63+[7]TransportB_EE!$Z$63</f>
        <v>0.4</v>
      </c>
      <c r="L111" s="69"/>
      <c r="M111" s="71">
        <f>C111*Labisoit!$D$21*'Ohusaaste (joonised)'!H111</f>
        <v>116.91232375917906</v>
      </c>
      <c r="N111" s="148">
        <f>D111*Labisoit!$D$50*'Ohusaaste (joonised)'!I111</f>
        <v>208.70587784197929</v>
      </c>
      <c r="O111" s="185">
        <f>E111*Labisoit!$D$79*J111</f>
        <v>199.75637641629439</v>
      </c>
    </row>
    <row r="112" spans="1:49" x14ac:dyDescent="0.25">
      <c r="A112" s="67" t="str">
        <f>A17</f>
        <v>Reisirong, diisel, reisija_km kohta</v>
      </c>
      <c r="B112" s="67">
        <f t="shared" si="23"/>
        <v>0</v>
      </c>
      <c r="C112" s="67">
        <f t="shared" si="23"/>
        <v>0.2</v>
      </c>
      <c r="D112" s="73">
        <f t="shared" si="23"/>
        <v>0.2</v>
      </c>
      <c r="E112" s="179">
        <f t="shared" si="23"/>
        <v>0.15000000000000002</v>
      </c>
      <c r="G112" s="69"/>
      <c r="H112" s="147">
        <f>[2]TransportB_EE!$T$58+[2]TransportB_EE!$X$58</f>
        <v>0.30000000000000004</v>
      </c>
      <c r="I112" s="147">
        <f>[6]Transport30B_EE!$T$58</f>
        <v>0.19999999999999996</v>
      </c>
      <c r="J112" s="142">
        <f>[7]TransportB_EE!$T$58</f>
        <v>0</v>
      </c>
      <c r="K112" s="64"/>
      <c r="L112" s="69"/>
      <c r="M112" s="121">
        <f>C112*Labisoit!$D$9*H112</f>
        <v>51.631911332116786</v>
      </c>
      <c r="N112" s="92">
        <f>D112*Labisoit!$D$37*I112</f>
        <v>72.937495560520119</v>
      </c>
      <c r="O112" s="185">
        <f>E112*Labisoit!$D$66*J112</f>
        <v>0</v>
      </c>
    </row>
    <row r="113" spans="1:49" ht="13.8" thickBot="1" x14ac:dyDescent="0.3">
      <c r="A113" s="67" t="str">
        <f>A18</f>
        <v>Kaubarong, g/tonn-km</v>
      </c>
      <c r="B113" s="67">
        <f t="shared" si="23"/>
        <v>0</v>
      </c>
      <c r="C113" s="67">
        <f t="shared" si="23"/>
        <v>0.32</v>
      </c>
      <c r="D113" s="73">
        <f t="shared" si="23"/>
        <v>0.10560000000000001</v>
      </c>
      <c r="E113" s="179">
        <f t="shared" si="23"/>
        <v>7.9200000000000007E-2</v>
      </c>
      <c r="G113" s="66"/>
      <c r="H113" s="77">
        <f>[2]TransportB_EE!$T$64+[2]TransportB_EE!$X$64</f>
        <v>1</v>
      </c>
      <c r="I113" s="77">
        <f>[6]Transport30B_EE!$T$64</f>
        <v>0.85</v>
      </c>
      <c r="J113" s="142">
        <f>[7]TransportB_EE!$T$64</f>
        <v>0.19999999999999996</v>
      </c>
      <c r="K113" s="64"/>
      <c r="L113" s="66"/>
      <c r="M113" s="62">
        <f>C113*Labisoit!$D$22*'Ohusaaste (joonised)'!H113</f>
        <v>2479.6288201946804</v>
      </c>
      <c r="N113" s="117">
        <f>D113*Labisoit!$D$51*'Ohusaaste (joonised)'!I113</f>
        <v>749.33758380384234</v>
      </c>
      <c r="O113" s="185">
        <f>E113*Labisoit!$D$80*J113</f>
        <v>126.56564009736407</v>
      </c>
    </row>
    <row r="114" spans="1:49" ht="13.8" thickBot="1" x14ac:dyDescent="0.3">
      <c r="B114" s="67"/>
      <c r="C114" s="67"/>
      <c r="D114" s="67"/>
      <c r="G114" s="61"/>
      <c r="H114" s="60"/>
      <c r="I114" s="88" t="str">
        <f>I19</f>
        <v>Kokku</v>
      </c>
      <c r="J114" s="116"/>
      <c r="K114" s="57"/>
      <c r="L114" s="61">
        <v>12368</v>
      </c>
      <c r="M114" s="58">
        <f>SUM(M106:M113)</f>
        <v>9382.3623373569935</v>
      </c>
      <c r="N114" s="118">
        <f>SUM(N106:N113)</f>
        <v>3311.2097882919593</v>
      </c>
      <c r="O114" s="186">
        <f>SUM(O106:O113)</f>
        <v>1574.4519330171031</v>
      </c>
    </row>
    <row r="115" spans="1:49" s="109" customFormat="1" ht="13.8" thickBot="1" x14ac:dyDescent="0.3">
      <c r="A115" s="205"/>
      <c r="B115" s="205"/>
      <c r="C115" s="205"/>
      <c r="D115" s="205"/>
      <c r="G115" s="198" t="s">
        <v>48</v>
      </c>
      <c r="H115" s="110"/>
      <c r="I115" s="110"/>
      <c r="J115" s="199"/>
      <c r="K115" s="112"/>
      <c r="L115" s="264" t="s">
        <v>101</v>
      </c>
      <c r="M115" s="263"/>
      <c r="N115" s="263"/>
      <c r="O115" s="124"/>
    </row>
    <row r="116" spans="1:49" s="108" customFormat="1" ht="13.8" thickBot="1" x14ac:dyDescent="0.3">
      <c r="A116" s="106" t="str">
        <f t="shared" ref="A116:E121" si="24">A21</f>
        <v>PM2,5</v>
      </c>
      <c r="B116" s="107">
        <f t="shared" si="24"/>
        <v>2010</v>
      </c>
      <c r="C116" s="107">
        <f t="shared" si="24"/>
        <v>2020</v>
      </c>
      <c r="D116" s="107">
        <f t="shared" si="24"/>
        <v>2030</v>
      </c>
      <c r="E116" s="108">
        <v>2050</v>
      </c>
      <c r="G116" s="106">
        <v>2010</v>
      </c>
      <c r="H116" s="107">
        <v>2020</v>
      </c>
      <c r="I116" s="107">
        <v>2030</v>
      </c>
      <c r="J116" s="127">
        <v>2050</v>
      </c>
      <c r="L116" s="106">
        <v>2010</v>
      </c>
      <c r="M116" s="107">
        <v>2020</v>
      </c>
      <c r="N116" s="114">
        <v>2030</v>
      </c>
      <c r="O116" s="123">
        <v>2050</v>
      </c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</row>
    <row r="117" spans="1:49" x14ac:dyDescent="0.25">
      <c r="A117" s="73" t="str">
        <f t="shared" si="24"/>
        <v>Sõiduauto, bensiin, gaas, etanool</v>
      </c>
      <c r="B117" s="73">
        <f t="shared" si="24"/>
        <v>0</v>
      </c>
      <c r="C117" s="73">
        <f t="shared" si="24"/>
        <v>3.3E-3</v>
      </c>
      <c r="D117" s="73">
        <f t="shared" si="24"/>
        <v>2E-3</v>
      </c>
      <c r="E117" s="179">
        <f t="shared" si="24"/>
        <v>1.5E-3</v>
      </c>
      <c r="G117" s="75"/>
      <c r="H117" s="74">
        <f t="shared" ref="H117:I124" si="25">H106</f>
        <v>0.74</v>
      </c>
      <c r="I117" s="74">
        <f t="shared" si="25"/>
        <v>0.7</v>
      </c>
      <c r="J117" s="142">
        <f>[7]TransportB_EE!$S$56+[7]TransportB_EE!$U$56+[7]TransportB_EE!$V$56+[7]TransportB_EE!$Z$56</f>
        <v>0.57000000000000006</v>
      </c>
      <c r="K117" s="64"/>
      <c r="L117" s="75"/>
      <c r="M117" s="72">
        <f>C117*Labisoit!$I$7*H117</f>
        <v>16.636232097135792</v>
      </c>
      <c r="N117" s="115">
        <f>D117*Labisoit!$I$35*I117</f>
        <v>9.0653847465135104</v>
      </c>
      <c r="O117" s="185">
        <f>E117*Labisoit!$I$64*J117</f>
        <v>5.5146011664013903</v>
      </c>
    </row>
    <row r="118" spans="1:49" x14ac:dyDescent="0.25">
      <c r="A118" s="67" t="str">
        <f t="shared" si="24"/>
        <v>Sõiduauto, diisel, biodiisel</v>
      </c>
      <c r="B118" s="67">
        <f t="shared" si="24"/>
        <v>0</v>
      </c>
      <c r="C118" s="67">
        <f t="shared" si="24"/>
        <v>2.9000000000000001E-2</v>
      </c>
      <c r="D118" s="67">
        <f t="shared" si="24"/>
        <v>1.4999999999999999E-2</v>
      </c>
      <c r="E118" s="179">
        <f>E23</f>
        <v>1.125E-2</v>
      </c>
      <c r="G118" s="69"/>
      <c r="H118" s="68">
        <f t="shared" si="25"/>
        <v>0.255</v>
      </c>
      <c r="I118" s="68">
        <f t="shared" si="25"/>
        <v>0.22999999999999998</v>
      </c>
      <c r="J118" s="142">
        <f>[7]TransportB_EE!$T$56</f>
        <v>0.17999999999999994</v>
      </c>
      <c r="K118" s="64"/>
      <c r="L118" s="69"/>
      <c r="M118" s="72">
        <f>C118*Labisoit!$I$7*H118</f>
        <v>50.378761817493526</v>
      </c>
      <c r="N118" s="115">
        <f>D118*Labisoit!$I$35*I118</f>
        <v>22.339698125336866</v>
      </c>
      <c r="O118" s="185">
        <f>E118*Labisoit!$I$64*J118</f>
        <v>13.060897499371707</v>
      </c>
    </row>
    <row r="119" spans="1:49" x14ac:dyDescent="0.25">
      <c r="A119" s="67" t="str">
        <f t="shared" si="24"/>
        <v>Buss, diisel, biodiisel</v>
      </c>
      <c r="B119" s="67">
        <f t="shared" si="24"/>
        <v>0</v>
      </c>
      <c r="C119" s="67">
        <f t="shared" si="24"/>
        <v>0.17</v>
      </c>
      <c r="D119" s="67">
        <f t="shared" si="24"/>
        <v>1.4999999999999999E-2</v>
      </c>
      <c r="E119" s="179">
        <f>E24</f>
        <v>1.125E-2</v>
      </c>
      <c r="G119" s="69"/>
      <c r="H119" s="68">
        <f t="shared" si="25"/>
        <v>0.78500000000000003</v>
      </c>
      <c r="I119" s="68">
        <f t="shared" si="25"/>
        <v>0.40000000000000008</v>
      </c>
      <c r="J119" s="142">
        <f>[7]TransportB_EE!$T$57</f>
        <v>0</v>
      </c>
      <c r="K119" s="64"/>
      <c r="L119" s="69"/>
      <c r="M119" s="71">
        <f>C119*Labisoit!$I$8*'Ohusaaste (joonised)'!H119</f>
        <v>12.440780746461499</v>
      </c>
      <c r="N119" s="116">
        <f>D119*Labisoit!$I$36*'Ohusaaste (joonised)'!I119</f>
        <v>0.50144528197857607</v>
      </c>
      <c r="O119" s="185">
        <f>E119*Labisoit!$I$65*J119</f>
        <v>0</v>
      </c>
    </row>
    <row r="120" spans="1:49" x14ac:dyDescent="0.25">
      <c r="A120" s="67" t="str">
        <f t="shared" si="24"/>
        <v>Buss, gaas, etanool</v>
      </c>
      <c r="B120" s="67">
        <f t="shared" si="24"/>
        <v>0</v>
      </c>
      <c r="C120" s="67">
        <f t="shared" si="24"/>
        <v>8.0999999999999996E-3</v>
      </c>
      <c r="D120" s="67">
        <f t="shared" si="24"/>
        <v>8.0999999999999996E-3</v>
      </c>
      <c r="E120" s="179">
        <f>E25</f>
        <v>6.0749999999999997E-3</v>
      </c>
      <c r="G120" s="69"/>
      <c r="H120" s="68">
        <f t="shared" si="25"/>
        <v>0.15</v>
      </c>
      <c r="I120" s="68">
        <f t="shared" si="25"/>
        <v>0.39999999999999997</v>
      </c>
      <c r="J120" s="142">
        <f>[7]TransportB_EE!$U$57+[7]TransportB_EE!$Z$57</f>
        <v>0.65</v>
      </c>
      <c r="K120" s="64"/>
      <c r="L120" s="69"/>
      <c r="M120" s="70">
        <f>C120*Labisoit!$I$8*'Ohusaaste (joonised)'!H120</f>
        <v>0.11326750548483117</v>
      </c>
      <c r="N120" s="120">
        <f>D120*Labisoit!$I$36*'Ohusaaste (joonised)'!I120</f>
        <v>0.270780452268431</v>
      </c>
      <c r="O120" s="185">
        <f>E120*Labisoit!$I$65*J120</f>
        <v>0.29598817711414005</v>
      </c>
    </row>
    <row r="121" spans="1:49" x14ac:dyDescent="0.25">
      <c r="A121" s="67" t="str">
        <f t="shared" si="24"/>
        <v>Veoauto NB -Tonn-km kohta</v>
      </c>
      <c r="B121" s="67">
        <f t="shared" si="24"/>
        <v>0</v>
      </c>
      <c r="C121" s="67">
        <f t="shared" si="24"/>
        <v>1.6E-2</v>
      </c>
      <c r="D121" s="67">
        <f t="shared" si="24"/>
        <v>5.3333333333333332E-3</v>
      </c>
      <c r="E121" s="179">
        <f>E26</f>
        <v>4.0000000000000001E-3</v>
      </c>
      <c r="G121" s="69"/>
      <c r="H121" s="68">
        <f t="shared" si="25"/>
        <v>0.88</v>
      </c>
      <c r="I121" s="68">
        <f t="shared" si="25"/>
        <v>0.64999999999999991</v>
      </c>
      <c r="J121" s="142">
        <f>[7]TransportB_EE!$T$63</f>
        <v>0.5</v>
      </c>
      <c r="K121" s="64"/>
      <c r="L121" s="69"/>
      <c r="M121" s="71">
        <f>C121*Labisoit!$D$21*'Ohusaaste (joonised)'!H121</f>
        <v>82.306275926462064</v>
      </c>
      <c r="N121" s="116">
        <f>D121*Labisoit!$D$50*'Ohusaaste (joonised)'!I121</f>
        <v>19.293698929391855</v>
      </c>
      <c r="O121" s="185">
        <f>E121*Labisoit!$D$79*J121</f>
        <v>10.653673408869034</v>
      </c>
    </row>
    <row r="122" spans="1:49" x14ac:dyDescent="0.25">
      <c r="A122" s="67" t="s">
        <v>46</v>
      </c>
      <c r="B122" s="67">
        <f t="shared" ref="B122:E124" si="26">B27</f>
        <v>0</v>
      </c>
      <c r="C122" s="67">
        <f t="shared" si="26"/>
        <v>8.0000000000000004E-4</v>
      </c>
      <c r="D122" s="67">
        <f t="shared" si="26"/>
        <v>2.6666666666666668E-4</v>
      </c>
      <c r="E122" s="179">
        <f t="shared" si="26"/>
        <v>2.0000000000000001E-4</v>
      </c>
      <c r="G122" s="69"/>
      <c r="H122" s="68">
        <f t="shared" si="25"/>
        <v>0.08</v>
      </c>
      <c r="I122" s="68">
        <f t="shared" si="25"/>
        <v>0.30000000000000004</v>
      </c>
      <c r="J122" s="142">
        <f>[7]TransportB_EE!$U$63+[7]TransportB_EE!$Z$63</f>
        <v>0.4</v>
      </c>
      <c r="L122" s="69"/>
      <c r="M122" s="70">
        <f>C122*Labisoit!$D$21*'Ohusaaste (joonised)'!H122</f>
        <v>0.37411943602937298</v>
      </c>
      <c r="N122" s="120">
        <f>D122*Labisoit!$D$50*'Ohusaaste (joonised)'!I122</f>
        <v>0.44523920606288914</v>
      </c>
      <c r="O122" s="185">
        <f>E122*Labisoit!$D$79*J122</f>
        <v>0.42614693635476136</v>
      </c>
    </row>
    <row r="123" spans="1:49" x14ac:dyDescent="0.25">
      <c r="A123" s="67" t="str">
        <f>A28</f>
        <v>Reisirong, g/reisija-km</v>
      </c>
      <c r="B123" s="67">
        <f t="shared" si="26"/>
        <v>0</v>
      </c>
      <c r="C123" s="67">
        <f t="shared" si="26"/>
        <v>2E-3</v>
      </c>
      <c r="D123" s="67">
        <f t="shared" si="26"/>
        <v>2E-3</v>
      </c>
      <c r="E123" s="179">
        <f t="shared" si="26"/>
        <v>1.5E-3</v>
      </c>
      <c r="G123" s="69"/>
      <c r="H123" s="68">
        <f t="shared" si="25"/>
        <v>0.30000000000000004</v>
      </c>
      <c r="I123" s="68">
        <f t="shared" si="25"/>
        <v>0.19999999999999996</v>
      </c>
      <c r="J123" s="142">
        <f>[7]TransportB_EE!$T$58</f>
        <v>0</v>
      </c>
      <c r="K123" s="64"/>
      <c r="L123" s="69"/>
      <c r="M123" s="92">
        <f>C123*Labisoit!$D$9*H123</f>
        <v>0.51631911332116787</v>
      </c>
      <c r="N123" s="92">
        <f>D123*Labisoit!$D$37*I123</f>
        <v>0.72937495560520127</v>
      </c>
      <c r="O123" s="185">
        <f>E123*Labisoit!$D$66*J123</f>
        <v>0</v>
      </c>
    </row>
    <row r="124" spans="1:49" ht="13.8" thickBot="1" x14ac:dyDescent="0.3">
      <c r="A124" s="63" t="str">
        <f>A29</f>
        <v>Kaubarong, diisel, g/tonn-km</v>
      </c>
      <c r="B124" s="63">
        <f t="shared" si="26"/>
        <v>0</v>
      </c>
      <c r="C124" s="63">
        <f t="shared" si="26"/>
        <v>1.2E-2</v>
      </c>
      <c r="D124" s="63">
        <f t="shared" si="26"/>
        <v>1E-3</v>
      </c>
      <c r="E124" s="179">
        <f t="shared" si="26"/>
        <v>7.5000000000000002E-4</v>
      </c>
      <c r="G124" s="66"/>
      <c r="H124" s="65">
        <f t="shared" si="25"/>
        <v>1</v>
      </c>
      <c r="I124" s="65">
        <f t="shared" si="25"/>
        <v>0.85</v>
      </c>
      <c r="J124" s="142">
        <f>[7]TransportB_EE!$T$64</f>
        <v>0.19999999999999996</v>
      </c>
      <c r="K124" s="64"/>
      <c r="L124" s="66"/>
      <c r="M124" s="62">
        <f>C124*Labisoit!$D$22*'Ohusaaste (joonised)'!H124</f>
        <v>92.986080757300527</v>
      </c>
      <c r="N124" s="117">
        <f>D124*Labisoit!$D$51*'Ohusaaste (joonised)'!I124</f>
        <v>7.0959998466272944</v>
      </c>
      <c r="O124" s="185">
        <f>E124*Labisoit!$D$80*J124</f>
        <v>1.1985382584977657</v>
      </c>
    </row>
    <row r="125" spans="1:49" s="57" customFormat="1" ht="13.8" thickBot="1" x14ac:dyDescent="0.3">
      <c r="B125" s="60"/>
      <c r="C125" s="60"/>
      <c r="D125" s="60"/>
      <c r="G125" s="59"/>
      <c r="I125" s="61">
        <f>A30</f>
        <v>0</v>
      </c>
      <c r="J125" s="129"/>
      <c r="L125" s="59">
        <v>499</v>
      </c>
      <c r="M125" s="58">
        <f>SUM(M117:M124)</f>
        <v>255.75183739968878</v>
      </c>
      <c r="N125" s="118">
        <f>SUM(N117:N124)</f>
        <v>59.741621543784618</v>
      </c>
      <c r="O125" s="186">
        <f>SUM(O117:O124)</f>
        <v>31.149845446608797</v>
      </c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</row>
    <row r="126" spans="1:49" s="113" customFormat="1" ht="13.8" thickBot="1" x14ac:dyDescent="0.3">
      <c r="A126" s="110"/>
      <c r="B126" s="110"/>
      <c r="C126" s="110"/>
      <c r="D126" s="110"/>
      <c r="E126" s="109"/>
      <c r="G126" s="198" t="s">
        <v>48</v>
      </c>
      <c r="H126" s="112"/>
      <c r="I126" s="112"/>
      <c r="J126" s="199"/>
      <c r="L126" s="262" t="s">
        <v>84</v>
      </c>
      <c r="M126" s="263"/>
      <c r="N126" s="263"/>
      <c r="O126" s="197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</row>
    <row r="127" spans="1:49" s="113" customFormat="1" ht="13.8" thickBot="1" x14ac:dyDescent="0.3">
      <c r="A127" s="106" t="s">
        <v>83</v>
      </c>
      <c r="B127" s="107">
        <v>2010</v>
      </c>
      <c r="C127" s="158">
        <v>2020</v>
      </c>
      <c r="D127" s="158">
        <v>2030</v>
      </c>
      <c r="E127" s="108">
        <v>2050</v>
      </c>
      <c r="G127" s="106">
        <v>2010</v>
      </c>
      <c r="H127" s="107">
        <v>2020</v>
      </c>
      <c r="I127" s="107">
        <v>2030</v>
      </c>
      <c r="J127" s="127">
        <v>2050</v>
      </c>
      <c r="L127" s="107">
        <v>2010</v>
      </c>
      <c r="M127" s="107">
        <v>2020</v>
      </c>
      <c r="N127" s="114">
        <v>2030</v>
      </c>
      <c r="O127" s="123">
        <v>2050</v>
      </c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</row>
    <row r="128" spans="1:49" s="89" customFormat="1" x14ac:dyDescent="0.25">
      <c r="A128" s="73" t="s">
        <v>57</v>
      </c>
      <c r="B128" s="73"/>
      <c r="C128" s="160">
        <f t="shared" ref="C128:E135" si="27">C33</f>
        <v>9.3999999999999997E-4</v>
      </c>
      <c r="D128" s="160">
        <f t="shared" si="27"/>
        <v>9.3999999999999997E-4</v>
      </c>
      <c r="E128" s="177">
        <f t="shared" si="27"/>
        <v>7.0500000000000001E-4</v>
      </c>
      <c r="G128" s="75"/>
      <c r="H128" s="79">
        <f>[2]TransportB_EE!$S$56+[2]TransportB_EE!$U$56+[2]TransportB_EE!$V$56+[2]TransportB_EE!$Z$56</f>
        <v>0.74</v>
      </c>
      <c r="I128" s="79">
        <f>[6]Transport30B_EE!$S$56+[6]Transport30B_EE!$U$56+[6]Transport30B_EE!$V$56+[6]Transport30B_EE!$Z$56</f>
        <v>0.7</v>
      </c>
      <c r="J128" s="142">
        <f>[7]TransportB_EE!$S$56+[7]TransportB_EE!$U$56+[7]TransportB_EE!$V$56+[7]TransportB_EE!$Z$56</f>
        <v>0.57000000000000006</v>
      </c>
      <c r="L128" s="73"/>
      <c r="M128" s="72">
        <f>C128*Labisoit!$I$7*H128</f>
        <v>4.7388055064568615</v>
      </c>
      <c r="N128" s="115">
        <f>D128*Labisoit!$I$35*I128</f>
        <v>4.2607308308613501</v>
      </c>
      <c r="O128" s="185">
        <f>E128*Labisoit!$I$64*J128</f>
        <v>2.5918625482086539</v>
      </c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</row>
    <row r="129" spans="1:49" s="89" customFormat="1" x14ac:dyDescent="0.25">
      <c r="A129" s="67" t="s">
        <v>56</v>
      </c>
      <c r="B129" s="67"/>
      <c r="C129" s="160">
        <f t="shared" si="27"/>
        <v>1.1000000000000001E-3</v>
      </c>
      <c r="D129" s="160">
        <f t="shared" si="27"/>
        <v>1E-3</v>
      </c>
      <c r="E129" s="177">
        <f t="shared" si="27"/>
        <v>7.5000000000000002E-4</v>
      </c>
      <c r="G129" s="69"/>
      <c r="H129" s="78">
        <f>[2]TransportB_EE!$T$56</f>
        <v>0.255</v>
      </c>
      <c r="I129" s="78">
        <f>[6]Transport30B_EE!$T$56</f>
        <v>0.22999999999999998</v>
      </c>
      <c r="J129" s="142">
        <f>[7]TransportB_EE!$T$56</f>
        <v>0.17999999999999994</v>
      </c>
      <c r="L129" s="67"/>
      <c r="M129" s="72">
        <f>C129*Labisoit!$I$7*H129</f>
        <v>1.9109185516980305</v>
      </c>
      <c r="N129" s="115">
        <f>D129*Labisoit!$I$35*I129</f>
        <v>1.4893132083557912</v>
      </c>
      <c r="O129" s="185">
        <f>E129*Labisoit!$I$64*J129</f>
        <v>0.87072649995811391</v>
      </c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</row>
    <row r="130" spans="1:49" s="89" customFormat="1" x14ac:dyDescent="0.25">
      <c r="A130" s="67" t="s">
        <v>55</v>
      </c>
      <c r="B130" s="67"/>
      <c r="C130" s="160">
        <f t="shared" si="27"/>
        <v>5.7000000000000002E-3</v>
      </c>
      <c r="D130" s="160">
        <f t="shared" si="27"/>
        <v>5.7000000000000002E-3</v>
      </c>
      <c r="E130" s="177">
        <f t="shared" si="27"/>
        <v>4.2750000000000002E-3</v>
      </c>
      <c r="G130" s="69"/>
      <c r="H130" s="78">
        <f>[2]TransportB_EE!$T$57</f>
        <v>0.78500000000000003</v>
      </c>
      <c r="I130" s="78">
        <f>[6]Transport30B_EE!$T$57</f>
        <v>0.40000000000000008</v>
      </c>
      <c r="J130" s="142">
        <f>[7]TransportB_EE!$T$57</f>
        <v>0</v>
      </c>
      <c r="L130" s="67"/>
      <c r="M130" s="71">
        <f>C130*Labisoit!$I$8*'Ohusaaste (joonised)'!H130</f>
        <v>0.41713206032253264</v>
      </c>
      <c r="N130" s="116">
        <f>D130*Labisoit!$I$36*'Ohusaaste (joonised)'!I130</f>
        <v>0.19054920715185894</v>
      </c>
      <c r="O130" s="185">
        <f>E130*Labisoit!$I$65*J130</f>
        <v>0</v>
      </c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</row>
    <row r="131" spans="1:49" s="89" customFormat="1" x14ac:dyDescent="0.25">
      <c r="A131" s="67" t="s">
        <v>54</v>
      </c>
      <c r="B131" s="67"/>
      <c r="C131" s="160">
        <f t="shared" si="27"/>
        <v>3.5E-4</v>
      </c>
      <c r="D131" s="160">
        <f t="shared" si="27"/>
        <v>3.5E-4</v>
      </c>
      <c r="E131" s="177">
        <f t="shared" si="27"/>
        <v>2.6249999999999998E-4</v>
      </c>
      <c r="G131" s="69"/>
      <c r="H131" s="78">
        <f>[2]TransportB_EE!$Z$57</f>
        <v>0.15</v>
      </c>
      <c r="I131" s="78">
        <f>[6]Transport30B_EE!$U$57+[6]Transport30B_EE!$Z$57</f>
        <v>0.39999999999999997</v>
      </c>
      <c r="J131" s="142">
        <f>[7]TransportB_EE!$U$57+[7]TransportB_EE!$Z$57</f>
        <v>0.65</v>
      </c>
      <c r="L131" s="67"/>
      <c r="M131" s="70">
        <f>C131*Labisoit!$I$8*'Ohusaaste (joonised)'!H131</f>
        <v>4.8942749283569032E-3</v>
      </c>
      <c r="N131" s="120">
        <f>D131*Labisoit!$I$36*'Ohusaaste (joonised)'!I131</f>
        <v>1.1700389912833439E-2</v>
      </c>
      <c r="O131" s="185">
        <f>E131*Labisoit!$I$65*J131</f>
        <v>1.278961259135173E-2</v>
      </c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</row>
    <row r="132" spans="1:49" s="89" customFormat="1" x14ac:dyDescent="0.25">
      <c r="A132" s="67" t="s">
        <v>53</v>
      </c>
      <c r="B132" s="67"/>
      <c r="C132" s="160">
        <f t="shared" si="27"/>
        <v>7.5000000000000002E-4</v>
      </c>
      <c r="D132" s="160">
        <f t="shared" si="27"/>
        <v>7.3999999999999999E-4</v>
      </c>
      <c r="E132" s="177">
        <f t="shared" si="27"/>
        <v>5.5499999999999994E-4</v>
      </c>
      <c r="G132" s="69"/>
      <c r="H132" s="78">
        <f>[2]TransportB_EE!$T$63</f>
        <v>0.88</v>
      </c>
      <c r="I132" s="78">
        <f>[6]Transport30B_EE!$T$63</f>
        <v>0.64999999999999991</v>
      </c>
      <c r="J132" s="142">
        <f>[7]TransportB_EE!$T$63</f>
        <v>0.5</v>
      </c>
      <c r="L132" s="67"/>
      <c r="M132" s="71">
        <f>C132*Labisoit!$D$21*'Ohusaaste (joonised)'!H132</f>
        <v>3.8581066840529088</v>
      </c>
      <c r="N132" s="116">
        <f>D132*Labisoit!$D$50*'Ohusaaste (joonised)'!I132</f>
        <v>2.6770007264531204</v>
      </c>
      <c r="O132" s="185">
        <f>E132*Labisoit!$D$79*J132</f>
        <v>1.4781971854805782</v>
      </c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</row>
    <row r="133" spans="1:49" s="89" customFormat="1" x14ac:dyDescent="0.25">
      <c r="A133" s="67" t="s">
        <v>46</v>
      </c>
      <c r="B133" s="67"/>
      <c r="C133" s="160">
        <f t="shared" si="27"/>
        <v>4.5000000000000003E-5</v>
      </c>
      <c r="D133" s="160">
        <f t="shared" si="27"/>
        <v>4.5000000000000003E-5</v>
      </c>
      <c r="E133" s="177">
        <f t="shared" si="27"/>
        <v>3.375E-5</v>
      </c>
      <c r="G133" s="69"/>
      <c r="H133" s="78">
        <f>[2]TransportB_EE!$Z$63</f>
        <v>0.08</v>
      </c>
      <c r="I133" s="78">
        <f>[6]Transport30B_EE!$U$63+[6]Transport30B_EE!$Z$63</f>
        <v>0.30000000000000004</v>
      </c>
      <c r="J133" s="142">
        <f>[7]TransportB_EE!$U$63+[7]TransportB_EE!$Z$63</f>
        <v>0.4</v>
      </c>
      <c r="L133" s="67"/>
      <c r="M133" s="70">
        <f>C133*Labisoit!$D$21*'Ohusaaste (joonised)'!H133</f>
        <v>2.1044218276652229E-2</v>
      </c>
      <c r="N133" s="120">
        <f>D133*Labisoit!$D$50*'Ohusaaste (joonised)'!I133</f>
        <v>7.513411602311254E-2</v>
      </c>
      <c r="O133" s="185">
        <f>E133*Labisoit!$D$79*J133</f>
        <v>7.1912295509865984E-2</v>
      </c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s="89" customFormat="1" x14ac:dyDescent="0.25">
      <c r="A134" s="67" t="s">
        <v>52</v>
      </c>
      <c r="B134" s="67"/>
      <c r="C134" s="160">
        <f t="shared" si="27"/>
        <v>4.8000000000000001E-4</v>
      </c>
      <c r="D134" s="160">
        <f t="shared" si="27"/>
        <v>4.8000000000000001E-4</v>
      </c>
      <c r="E134" s="177">
        <f t="shared" si="27"/>
        <v>3.6000000000000002E-4</v>
      </c>
      <c r="G134" s="69"/>
      <c r="H134" s="147">
        <f>[2]TransportB_EE!$T$58+[2]TransportB_EE!$X$58</f>
        <v>0.30000000000000004</v>
      </c>
      <c r="I134" s="147">
        <f>[6]Transport30B_EE!$T$58</f>
        <v>0.19999999999999996</v>
      </c>
      <c r="J134" s="142">
        <f>[7]TransportB_EE!$T$58</f>
        <v>0</v>
      </c>
      <c r="L134" s="67"/>
      <c r="M134" s="91">
        <f>C134*Labisoit!$D$9*H134</f>
        <v>0.12391658719708029</v>
      </c>
      <c r="N134" s="91">
        <f>D134*Labisoit!$D$37*I134</f>
        <v>0.17504998934524829</v>
      </c>
      <c r="O134" s="185">
        <f>E134*Labisoit!$D$66*J134</f>
        <v>0</v>
      </c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</row>
    <row r="135" spans="1:49" s="89" customFormat="1" ht="13.8" thickBot="1" x14ac:dyDescent="0.3">
      <c r="A135" s="63" t="s">
        <v>51</v>
      </c>
      <c r="B135" s="63"/>
      <c r="C135" s="160">
        <f t="shared" si="27"/>
        <v>1.7000000000000001E-4</v>
      </c>
      <c r="D135" s="160">
        <f t="shared" si="27"/>
        <v>1.7000000000000001E-4</v>
      </c>
      <c r="E135" s="177">
        <f t="shared" si="27"/>
        <v>1.2750000000000001E-4</v>
      </c>
      <c r="G135" s="66"/>
      <c r="H135" s="77">
        <f>[2]TransportB_EE!$T$64+[2]TransportB_EE!$X$64</f>
        <v>1</v>
      </c>
      <c r="I135" s="77">
        <f>[6]Transport30B_EE!$T$64</f>
        <v>0.85</v>
      </c>
      <c r="J135" s="142">
        <f>[7]TransportB_EE!$T$64</f>
        <v>0.19999999999999996</v>
      </c>
      <c r="L135" s="63"/>
      <c r="M135" s="62">
        <f>C135*Labisoit!$D$22*'Ohusaaste (joonised)'!H135</f>
        <v>1.3173028107284241</v>
      </c>
      <c r="N135" s="117">
        <f>D135*Labisoit!$D$51*'Ohusaaste (joonised)'!I135</f>
        <v>1.2063199739266399</v>
      </c>
      <c r="O135" s="185">
        <f>E135*Labisoit!$D$80*J135</f>
        <v>0.20375150394462019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</row>
    <row r="136" spans="1:49" s="89" customFormat="1" ht="13.8" thickBot="1" x14ac:dyDescent="0.3">
      <c r="B136" s="57"/>
      <c r="C136" s="159"/>
      <c r="D136" s="159"/>
      <c r="E136" s="159"/>
      <c r="G136" s="61"/>
      <c r="H136" s="60"/>
      <c r="I136" s="88" t="str">
        <f>I41</f>
        <v>Kokku</v>
      </c>
      <c r="J136" s="116"/>
      <c r="L136" s="93">
        <f>L41</f>
        <v>76</v>
      </c>
      <c r="M136" s="58">
        <f>SUM(M128:M135)</f>
        <v>12.392120693660845</v>
      </c>
      <c r="N136" s="118">
        <f>SUM(N128:N135)</f>
        <v>10.085798442029956</v>
      </c>
      <c r="O136" s="186">
        <f>SUM(O128:O135)</f>
        <v>5.2292396456931831</v>
      </c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</row>
    <row r="137" spans="1:49" s="113" customFormat="1" ht="13.8" thickBot="1" x14ac:dyDescent="0.3">
      <c r="A137" s="110"/>
      <c r="B137" s="110"/>
      <c r="C137" s="110"/>
      <c r="D137" s="110"/>
      <c r="E137" s="109"/>
      <c r="G137" s="198" t="s">
        <v>48</v>
      </c>
      <c r="H137" s="112"/>
      <c r="I137" s="112"/>
      <c r="J137" s="199"/>
      <c r="L137" s="262" t="s">
        <v>86</v>
      </c>
      <c r="M137" s="263"/>
      <c r="N137" s="263"/>
      <c r="O137" s="197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</row>
    <row r="138" spans="1:49" s="113" customFormat="1" ht="13.8" thickBot="1" x14ac:dyDescent="0.3">
      <c r="A138" s="106" t="s">
        <v>85</v>
      </c>
      <c r="B138" s="107">
        <v>2010</v>
      </c>
      <c r="C138" s="158">
        <v>2020</v>
      </c>
      <c r="D138" s="158">
        <v>2030</v>
      </c>
      <c r="E138" s="108">
        <v>2050</v>
      </c>
      <c r="G138" s="106">
        <v>2010</v>
      </c>
      <c r="H138" s="107">
        <v>2020</v>
      </c>
      <c r="I138" s="107">
        <v>2030</v>
      </c>
      <c r="J138" s="127">
        <v>2050</v>
      </c>
      <c r="L138" s="107">
        <v>2010</v>
      </c>
      <c r="M138" s="107">
        <v>2020</v>
      </c>
      <c r="N138" s="114">
        <v>2030</v>
      </c>
      <c r="O138" s="123">
        <v>2050</v>
      </c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</row>
    <row r="139" spans="1:49" s="89" customFormat="1" x14ac:dyDescent="0.25">
      <c r="A139" s="73" t="s">
        <v>57</v>
      </c>
      <c r="B139" s="73"/>
      <c r="C139" s="67">
        <f t="shared" ref="C139:E146" si="28">C44</f>
        <v>0.17</v>
      </c>
      <c r="D139" s="67">
        <f t="shared" si="28"/>
        <v>1.2999999999999999E-2</v>
      </c>
      <c r="E139" s="181">
        <f t="shared" si="28"/>
        <v>9.75E-3</v>
      </c>
      <c r="G139" s="75"/>
      <c r="H139" s="79">
        <f>[2]TransportB_EE!$S$56+[2]TransportB_EE!$U$56+[2]TransportB_EE!$V$56+[2]TransportB_EE!$Z$56</f>
        <v>0.74</v>
      </c>
      <c r="I139" s="79">
        <f>[6]Transport30B_EE!$S$56+[6]Transport30B_EE!$U$56+[6]Transport30B_EE!$V$56+[6]Transport30B_EE!$Z$56</f>
        <v>0.7</v>
      </c>
      <c r="J139" s="142">
        <f>[7]TransportB_EE!$S$56+[7]TransportB_EE!$U$56+[7]TransportB_EE!$V$56+[7]TransportB_EE!$Z$56</f>
        <v>0.57000000000000006</v>
      </c>
      <c r="L139" s="73"/>
      <c r="M139" s="72">
        <f>C139*Labisoit!$I$7*H139</f>
        <v>857.01801712517727</v>
      </c>
      <c r="N139" s="115">
        <f>D139*Labisoit!$I$35*I139</f>
        <v>58.925000852337824</v>
      </c>
      <c r="O139" s="185">
        <f>E139*Labisoit!$I$64*J139</f>
        <v>35.844907581609036</v>
      </c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</row>
    <row r="140" spans="1:49" s="89" customFormat="1" x14ac:dyDescent="0.25">
      <c r="A140" s="67" t="s">
        <v>56</v>
      </c>
      <c r="B140" s="67"/>
      <c r="C140" s="67">
        <f t="shared" si="28"/>
        <v>0.17</v>
      </c>
      <c r="D140" s="67">
        <f t="shared" si="28"/>
        <v>0.11</v>
      </c>
      <c r="E140" s="181">
        <f t="shared" si="28"/>
        <v>8.2500000000000004E-2</v>
      </c>
      <c r="G140" s="69"/>
      <c r="H140" s="78">
        <f>[2]TransportB_EE!$T$56</f>
        <v>0.255</v>
      </c>
      <c r="I140" s="78">
        <f>[6]Transport30B_EE!$T$56</f>
        <v>0.22999999999999998</v>
      </c>
      <c r="J140" s="142">
        <f>[7]TransportB_EE!$T$56</f>
        <v>0.17999999999999994</v>
      </c>
      <c r="L140" s="67"/>
      <c r="M140" s="72">
        <f>C140*Labisoit!$I$7*H140</f>
        <v>295.32377617151377</v>
      </c>
      <c r="N140" s="115">
        <f>D140*Labisoit!$I$35*I140</f>
        <v>163.82445291913703</v>
      </c>
      <c r="O140" s="185">
        <f>E140*Labisoit!$I$64*J140</f>
        <v>95.779914995392531</v>
      </c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</row>
    <row r="141" spans="1:49" s="89" customFormat="1" x14ac:dyDescent="0.25">
      <c r="A141" s="67" t="s">
        <v>55</v>
      </c>
      <c r="B141" s="67"/>
      <c r="C141" s="67">
        <f t="shared" si="28"/>
        <v>0.13</v>
      </c>
      <c r="D141" s="67">
        <f t="shared" si="28"/>
        <v>5.8000000000000003E-2</v>
      </c>
      <c r="E141" s="181">
        <f t="shared" si="28"/>
        <v>4.3500000000000004E-2</v>
      </c>
      <c r="G141" s="69"/>
      <c r="H141" s="78">
        <f>[2]TransportB_EE!$T$57</f>
        <v>0.78500000000000003</v>
      </c>
      <c r="I141" s="78">
        <f>[6]Transport30B_EE!$T$57</f>
        <v>0.40000000000000008</v>
      </c>
      <c r="J141" s="142">
        <f>[7]TransportB_EE!$T$57</f>
        <v>0</v>
      </c>
      <c r="L141" s="67"/>
      <c r="M141" s="71">
        <f>C141*Labisoit!$I$8*'Ohusaaste (joonised)'!H141</f>
        <v>9.5135382178823225</v>
      </c>
      <c r="N141" s="116">
        <f>D141*Labisoit!$I$36*'Ohusaaste (joonised)'!I141</f>
        <v>1.9389217569838277</v>
      </c>
      <c r="O141" s="185">
        <f>E141*Labisoit!$I$65*J141</f>
        <v>0</v>
      </c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</row>
    <row r="142" spans="1:49" s="89" customFormat="1" x14ac:dyDescent="0.25">
      <c r="A142" s="67" t="s">
        <v>54</v>
      </c>
      <c r="B142" s="67"/>
      <c r="C142" s="67">
        <f t="shared" si="28"/>
        <v>0.81</v>
      </c>
      <c r="D142" s="67">
        <f t="shared" si="28"/>
        <v>0.4</v>
      </c>
      <c r="E142" s="181">
        <f t="shared" si="28"/>
        <v>0.30000000000000004</v>
      </c>
      <c r="G142" s="69"/>
      <c r="H142" s="78">
        <f>[2]TransportB_EE!$Z$57</f>
        <v>0.15</v>
      </c>
      <c r="I142" s="78">
        <f>[6]Transport30B_EE!$U$57+[6]Transport30B_EE!$Z$57</f>
        <v>0.39999999999999997</v>
      </c>
      <c r="J142" s="142">
        <f>[7]TransportB_EE!$U$57+[7]TransportB_EE!$Z$57</f>
        <v>0.65</v>
      </c>
      <c r="L142" s="67"/>
      <c r="M142" s="70">
        <f>C142*Labisoit!$I$8*'Ohusaaste (joonised)'!H142</f>
        <v>11.326750548483119</v>
      </c>
      <c r="N142" s="120">
        <f>D142*Labisoit!$I$36*'Ohusaaste (joonised)'!I142</f>
        <v>13.37187418609536</v>
      </c>
      <c r="O142" s="185">
        <f>E142*Labisoit!$I$65*J142</f>
        <v>14.616700104401978</v>
      </c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</row>
    <row r="143" spans="1:49" s="89" customFormat="1" x14ac:dyDescent="0.25">
      <c r="A143" s="67" t="s">
        <v>53</v>
      </c>
      <c r="B143" s="67"/>
      <c r="C143" s="67">
        <f t="shared" si="28"/>
        <v>4.2000000000000003E-2</v>
      </c>
      <c r="D143" s="67">
        <f t="shared" si="28"/>
        <v>2.2000000000000001E-3</v>
      </c>
      <c r="E143" s="181">
        <f t="shared" si="28"/>
        <v>1.65E-3</v>
      </c>
      <c r="G143" s="69"/>
      <c r="H143" s="78">
        <f>[2]TransportB_EE!$T$63</f>
        <v>0.88</v>
      </c>
      <c r="I143" s="78">
        <f>[6]Transport30B_EE!$T$63</f>
        <v>0.64999999999999991</v>
      </c>
      <c r="J143" s="142">
        <f>[7]TransportB_EE!$T$63</f>
        <v>0.5</v>
      </c>
      <c r="L143" s="67"/>
      <c r="M143" s="71">
        <f>C143*Labisoit!$D$21*'Ohusaaste (joonised)'!H143</f>
        <v>216.05397430696291</v>
      </c>
      <c r="N143" s="116">
        <f>D143*Labisoit!$D$50*'Ohusaaste (joonised)'!I143</f>
        <v>7.9586508083741414</v>
      </c>
      <c r="O143" s="185">
        <f>E143*Labisoit!$D$79*J143</f>
        <v>4.3946402811584759</v>
      </c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</row>
    <row r="144" spans="1:49" s="89" customFormat="1" x14ac:dyDescent="0.25">
      <c r="A144" s="67" t="s">
        <v>46</v>
      </c>
      <c r="B144" s="67"/>
      <c r="C144" s="67">
        <f t="shared" si="28"/>
        <v>0.252</v>
      </c>
      <c r="D144" s="67">
        <f t="shared" si="28"/>
        <v>0.126</v>
      </c>
      <c r="E144" s="181">
        <f t="shared" si="28"/>
        <v>9.4500000000000001E-2</v>
      </c>
      <c r="G144" s="69"/>
      <c r="H144" s="78">
        <f>[2]TransportB_EE!$Z$63</f>
        <v>0.08</v>
      </c>
      <c r="I144" s="78">
        <f>[6]Transport30B_EE!$U$63+[6]Transport30B_EE!$Z$63</f>
        <v>0.30000000000000004</v>
      </c>
      <c r="J144" s="142">
        <f>[7]TransportB_EE!$U$63+[7]TransportB_EE!$Z$63</f>
        <v>0.4</v>
      </c>
      <c r="L144" s="67"/>
      <c r="M144" s="70">
        <f>C144*Labisoit!$D$21*'Ohusaaste (joonised)'!H144</f>
        <v>117.84762234925249</v>
      </c>
      <c r="N144" s="120">
        <f>D144*Labisoit!$D$50*'Ohusaaste (joonised)'!I144</f>
        <v>210.37552486471512</v>
      </c>
      <c r="O144" s="185">
        <f>E144*Labisoit!$D$79*J144</f>
        <v>201.35442742762473</v>
      </c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</row>
    <row r="145" spans="1:49" s="89" customFormat="1" x14ac:dyDescent="0.25">
      <c r="A145" s="67" t="s">
        <v>52</v>
      </c>
      <c r="B145" s="67"/>
      <c r="C145" s="67">
        <f t="shared" si="28"/>
        <v>7.1999999999999998E-3</v>
      </c>
      <c r="D145" s="67">
        <f t="shared" si="28"/>
        <v>7.1999999999999998E-3</v>
      </c>
      <c r="E145" s="181">
        <f t="shared" si="28"/>
        <v>5.4000000000000003E-3</v>
      </c>
      <c r="G145" s="69"/>
      <c r="H145" s="147">
        <f>[2]TransportB_EE!$T$58+[2]TransportB_EE!$X$58</f>
        <v>0.30000000000000004</v>
      </c>
      <c r="I145" s="147">
        <f>[6]Transport30B_EE!$T$58</f>
        <v>0.19999999999999996</v>
      </c>
      <c r="J145" s="142">
        <f>[7]TransportB_EE!$T$58</f>
        <v>0</v>
      </c>
      <c r="L145" s="67"/>
      <c r="M145" s="91">
        <f>C145*Labisoit!$D$9*H145</f>
        <v>1.8587488079562042</v>
      </c>
      <c r="N145" s="91">
        <f>D145*Labisoit!$D$37*I145</f>
        <v>2.6257498401787243</v>
      </c>
      <c r="O145" s="185">
        <f>E145*Labisoit!$D$66*J145</f>
        <v>0</v>
      </c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</row>
    <row r="146" spans="1:49" s="89" customFormat="1" ht="13.8" thickBot="1" x14ac:dyDescent="0.3">
      <c r="A146" s="63" t="s">
        <v>51</v>
      </c>
      <c r="B146" s="63"/>
      <c r="C146" s="67">
        <f t="shared" si="28"/>
        <v>3.6999999999999998E-2</v>
      </c>
      <c r="D146" s="67">
        <f t="shared" si="28"/>
        <v>3.6999999999999998E-2</v>
      </c>
      <c r="E146" s="181">
        <f t="shared" si="28"/>
        <v>2.7749999999999997E-2</v>
      </c>
      <c r="G146" s="66"/>
      <c r="H146" s="77">
        <f>[2]TransportB_EE!$T$64+[2]TransportB_EE!$X$64</f>
        <v>1</v>
      </c>
      <c r="I146" s="77">
        <f>[6]Transport30B_EE!$T$64</f>
        <v>0.85</v>
      </c>
      <c r="J146" s="142">
        <f>[7]TransportB_EE!$T$64</f>
        <v>0.19999999999999996</v>
      </c>
      <c r="L146" s="63"/>
      <c r="M146" s="62">
        <f>C146*Labisoit!$D$22*'Ohusaaste (joonised)'!H146</f>
        <v>286.70708233500994</v>
      </c>
      <c r="N146" s="117">
        <f>D146*Labisoit!$D$51*'Ohusaaste (joonised)'!I146</f>
        <v>262.55199432520988</v>
      </c>
      <c r="O146" s="185">
        <f>E146*Labisoit!$D$80*J146</f>
        <v>44.345915564417332</v>
      </c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</row>
    <row r="147" spans="1:49" s="89" customFormat="1" ht="13.8" thickBot="1" x14ac:dyDescent="0.3">
      <c r="B147" s="57"/>
      <c r="C147" s="159"/>
      <c r="D147" s="159"/>
      <c r="E147" s="57"/>
      <c r="G147" s="61"/>
      <c r="H147" s="60"/>
      <c r="I147" s="88" t="str">
        <f>I52</f>
        <v>Kokku</v>
      </c>
      <c r="J147" s="116"/>
      <c r="L147" s="57">
        <v>2578</v>
      </c>
      <c r="M147" s="58">
        <f>SUM(M139:M146)</f>
        <v>1795.6495098622383</v>
      </c>
      <c r="N147" s="118">
        <f>SUM(N139:N146)</f>
        <v>721.57216955303193</v>
      </c>
      <c r="O147" s="186">
        <f>SUM(O139:O146)</f>
        <v>396.33650595460409</v>
      </c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</row>
    <row r="148" spans="1:49" s="89" customFormat="1" x14ac:dyDescent="0.25">
      <c r="M148" s="105"/>
      <c r="N148" s="105"/>
      <c r="O148" s="105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</row>
    <row r="150" spans="1:49" x14ac:dyDescent="0.25">
      <c r="D150" s="54"/>
      <c r="E150" s="54"/>
      <c r="F150" s="54"/>
      <c r="G150" s="54"/>
      <c r="H150" s="54"/>
    </row>
    <row r="151" spans="1:49" ht="13.8" thickBot="1" x14ac:dyDescent="0.3">
      <c r="A151" s="54" t="s">
        <v>45</v>
      </c>
      <c r="D151" s="54"/>
      <c r="E151" s="54"/>
      <c r="F151" s="54"/>
      <c r="G151" s="54"/>
      <c r="H151" s="54"/>
    </row>
    <row r="152" spans="1:49" s="210" customFormat="1" x14ac:dyDescent="0.25">
      <c r="A152" s="209" t="s">
        <v>42</v>
      </c>
      <c r="B152" s="209">
        <v>2011</v>
      </c>
      <c r="C152" s="209">
        <v>2015</v>
      </c>
      <c r="D152" s="209">
        <v>2020</v>
      </c>
      <c r="E152" s="209">
        <v>2025</v>
      </c>
      <c r="F152" s="209"/>
      <c r="G152" s="209">
        <v>2030</v>
      </c>
      <c r="H152" s="209">
        <v>2040</v>
      </c>
      <c r="I152" s="209">
        <v>2050</v>
      </c>
      <c r="L152" s="242"/>
      <c r="M152" s="243"/>
      <c r="N152" s="243"/>
      <c r="O152" s="243"/>
      <c r="P152" s="243"/>
      <c r="Q152" s="244"/>
    </row>
    <row r="153" spans="1:49" x14ac:dyDescent="0.25">
      <c r="A153" s="54" t="s">
        <v>44</v>
      </c>
      <c r="B153" s="55">
        <v>2248000</v>
      </c>
      <c r="C153" s="55">
        <v>2394646.6779310168</v>
      </c>
      <c r="D153" s="55">
        <v>2653907.2548743365</v>
      </c>
      <c r="E153" s="55">
        <v>2816614.7185939001</v>
      </c>
      <c r="F153" s="55"/>
      <c r="G153" s="55">
        <v>3087233.270393461</v>
      </c>
      <c r="H153" s="53">
        <v>2788935.0459882622</v>
      </c>
      <c r="I153" s="55">
        <v>2490636.8215830633</v>
      </c>
      <c r="L153" s="131"/>
      <c r="M153" s="64"/>
      <c r="N153" s="88" t="s">
        <v>92</v>
      </c>
      <c r="O153" s="67"/>
      <c r="P153" s="245" t="s">
        <v>93</v>
      </c>
      <c r="Q153" s="126"/>
    </row>
    <row r="154" spans="1:49" x14ac:dyDescent="0.25">
      <c r="A154" s="54" t="s">
        <v>43</v>
      </c>
      <c r="B154" s="52">
        <v>11547</v>
      </c>
      <c r="C154" s="53">
        <v>11241.824886642728</v>
      </c>
      <c r="D154" s="56">
        <v>10936.649773285453</v>
      </c>
      <c r="E154" s="53">
        <v>8187.1607763131724</v>
      </c>
      <c r="F154" s="53"/>
      <c r="G154" s="56">
        <v>5437.6717793408925</v>
      </c>
      <c r="H154" s="53">
        <v>4775.0774668934791</v>
      </c>
      <c r="I154" s="56">
        <v>4112.4831544460658</v>
      </c>
      <c r="L154" s="246">
        <v>2005</v>
      </c>
      <c r="M154" s="247"/>
      <c r="N154" s="240">
        <v>2030</v>
      </c>
      <c r="O154" s="240">
        <v>2030</v>
      </c>
      <c r="P154" s="247"/>
      <c r="Q154" s="248"/>
    </row>
    <row r="155" spans="1:49" x14ac:dyDescent="0.25">
      <c r="A155" s="54" t="s">
        <v>102</v>
      </c>
      <c r="B155" s="52">
        <v>499</v>
      </c>
      <c r="C155" s="53">
        <v>396.87667813740211</v>
      </c>
      <c r="D155" s="56">
        <v>294.75335627480422</v>
      </c>
      <c r="E155" s="53">
        <v>201.92424648411378</v>
      </c>
      <c r="F155" s="53"/>
      <c r="G155" s="56">
        <v>109.09513669342337</v>
      </c>
      <c r="H155" s="53">
        <v>100.07792184880806</v>
      </c>
      <c r="I155" s="56">
        <v>91.06070700419275</v>
      </c>
      <c r="L155" s="249">
        <v>2149000</v>
      </c>
      <c r="M155" s="64"/>
      <c r="N155" s="68">
        <v>-0.11</v>
      </c>
      <c r="O155" s="68">
        <v>0.02</v>
      </c>
      <c r="P155" s="64"/>
      <c r="Q155" s="126"/>
    </row>
    <row r="156" spans="1:49" ht="13.8" thickBot="1" x14ac:dyDescent="0.3">
      <c r="A156" s="54" t="s">
        <v>83</v>
      </c>
      <c r="B156" s="52">
        <v>76</v>
      </c>
      <c r="C156" s="53">
        <v>45.474292147806842</v>
      </c>
      <c r="D156" s="53">
        <v>14.948584295613685</v>
      </c>
      <c r="E156" s="53">
        <v>15.650091683094727</v>
      </c>
      <c r="F156" s="52">
        <v>0</v>
      </c>
      <c r="G156" s="56">
        <v>16.351599070575769</v>
      </c>
      <c r="H156" s="53">
        <v>14.608699086659978</v>
      </c>
      <c r="I156" s="53">
        <v>12.865799102744189</v>
      </c>
      <c r="L156" s="250"/>
      <c r="M156" s="251"/>
      <c r="N156" s="252">
        <f>(1+N155)*L155</f>
        <v>1912610</v>
      </c>
      <c r="O156" s="252">
        <f>(1+O155)*L155</f>
        <v>2191980</v>
      </c>
      <c r="P156" s="251"/>
      <c r="Q156" s="253"/>
    </row>
    <row r="157" spans="1:49" x14ac:dyDescent="0.25">
      <c r="A157" s="54" t="s">
        <v>85</v>
      </c>
      <c r="B157" s="52">
        <v>2578</v>
      </c>
      <c r="C157" s="53">
        <v>2260.5762025608074</v>
      </c>
      <c r="D157" s="53">
        <v>1943.1524051216152</v>
      </c>
      <c r="E157" s="53">
        <v>1320.2372437411252</v>
      </c>
      <c r="F157" s="53"/>
      <c r="G157" s="56">
        <v>697.32208236063514</v>
      </c>
      <c r="H157" s="53">
        <v>610.04996338180433</v>
      </c>
      <c r="I157" s="53">
        <v>522.77784440297353</v>
      </c>
    </row>
    <row r="158" spans="1:49" x14ac:dyDescent="0.25">
      <c r="A158" s="54"/>
      <c r="D158" s="54"/>
      <c r="E158" s="54"/>
      <c r="F158" s="54"/>
      <c r="G158" s="54"/>
      <c r="H158" s="54"/>
      <c r="I158" s="54"/>
    </row>
    <row r="159" spans="1:49" s="36" customFormat="1" x14ac:dyDescent="0.25">
      <c r="A159" s="46" t="s">
        <v>24</v>
      </c>
      <c r="B159" s="46">
        <v>2011</v>
      </c>
      <c r="C159" s="46">
        <v>2015</v>
      </c>
      <c r="D159" s="46">
        <v>2020</v>
      </c>
      <c r="E159" s="46">
        <v>2025</v>
      </c>
      <c r="F159" s="46"/>
      <c r="G159" s="46">
        <v>2030</v>
      </c>
      <c r="H159" s="46">
        <v>2040</v>
      </c>
      <c r="I159" s="46">
        <v>2050</v>
      </c>
    </row>
    <row r="160" spans="1:49" x14ac:dyDescent="0.25">
      <c r="A160" s="54" t="s">
        <v>44</v>
      </c>
      <c r="B160" s="55">
        <v>2248000</v>
      </c>
      <c r="C160" s="55">
        <v>2215366.2714910498</v>
      </c>
      <c r="D160" s="55">
        <v>2295346.4419944016</v>
      </c>
      <c r="E160" s="55">
        <v>2327318.0008590966</v>
      </c>
      <c r="F160" s="55"/>
      <c r="G160" s="55">
        <v>2359289.5597237912</v>
      </c>
      <c r="H160" s="53">
        <v>2125835.9434233787</v>
      </c>
      <c r="I160" s="55">
        <v>1892382.3271229663</v>
      </c>
    </row>
    <row r="161" spans="1:19" x14ac:dyDescent="0.25">
      <c r="A161" s="54" t="s">
        <v>43</v>
      </c>
      <c r="B161" s="52">
        <v>11547</v>
      </c>
      <c r="C161" s="53">
        <v>10600.78760539864</v>
      </c>
      <c r="D161" s="56">
        <v>9654.5752107972803</v>
      </c>
      <c r="E161" s="53">
        <v>6991.1111204496146</v>
      </c>
      <c r="F161" s="53"/>
      <c r="G161" s="56">
        <v>4327.647030101949</v>
      </c>
      <c r="H161" s="53">
        <v>3698.4454131484799</v>
      </c>
      <c r="I161" s="56">
        <v>3069.2437961950113</v>
      </c>
    </row>
    <row r="162" spans="1:19" x14ac:dyDescent="0.25">
      <c r="A162" s="54" t="s">
        <v>102</v>
      </c>
      <c r="B162" s="52">
        <v>499</v>
      </c>
      <c r="C162" s="53">
        <v>382.04363922878736</v>
      </c>
      <c r="D162" s="56">
        <v>265.08727845757471</v>
      </c>
      <c r="E162" s="53">
        <v>175.67518353333026</v>
      </c>
      <c r="F162" s="53"/>
      <c r="G162" s="56">
        <v>86.263088609085813</v>
      </c>
      <c r="H162" s="53">
        <v>78.927712370238879</v>
      </c>
      <c r="I162" s="56">
        <v>71.592336131391932</v>
      </c>
    </row>
    <row r="163" spans="1:19" x14ac:dyDescent="0.25">
      <c r="A163" s="54" t="s">
        <v>83</v>
      </c>
      <c r="B163" s="52">
        <v>76</v>
      </c>
      <c r="C163" s="53">
        <v>44.497415174912135</v>
      </c>
      <c r="D163" s="56">
        <v>12.994830349824268</v>
      </c>
      <c r="E163" s="53">
        <v>13.235914334151762</v>
      </c>
      <c r="F163" s="53"/>
      <c r="G163" s="56">
        <v>13.476998318479257</v>
      </c>
      <c r="H163" s="53">
        <v>11.47840819296794</v>
      </c>
      <c r="I163" s="56">
        <v>9.4798180674566215</v>
      </c>
    </row>
    <row r="164" spans="1:19" x14ac:dyDescent="0.25">
      <c r="A164" s="54" t="s">
        <v>85</v>
      </c>
      <c r="B164" s="52">
        <v>2578</v>
      </c>
      <c r="C164" s="53">
        <v>2199.6672450299161</v>
      </c>
      <c r="D164" s="56">
        <v>1821.3344900598324</v>
      </c>
      <c r="E164" s="53">
        <v>1330.1232790296349</v>
      </c>
      <c r="F164" s="53"/>
      <c r="G164" s="56">
        <v>838.91206799943711</v>
      </c>
      <c r="H164" s="53">
        <v>745.61874939236031</v>
      </c>
      <c r="I164" s="56">
        <v>652.32543078528352</v>
      </c>
    </row>
    <row r="165" spans="1:19" x14ac:dyDescent="0.25">
      <c r="A165" s="54"/>
    </row>
    <row r="166" spans="1:19" s="164" customFormat="1" x14ac:dyDescent="0.25">
      <c r="A166" s="211" t="s">
        <v>41</v>
      </c>
      <c r="B166" s="211">
        <v>2011</v>
      </c>
      <c r="C166" s="211">
        <v>2015</v>
      </c>
      <c r="D166" s="211">
        <v>2020</v>
      </c>
      <c r="E166" s="211">
        <v>2025</v>
      </c>
      <c r="F166" s="211"/>
      <c r="G166" s="211">
        <v>2030</v>
      </c>
      <c r="H166" s="211">
        <v>2040</v>
      </c>
      <c r="I166" s="211">
        <v>2050</v>
      </c>
    </row>
    <row r="167" spans="1:19" x14ac:dyDescent="0.25">
      <c r="A167" s="54" t="s">
        <v>44</v>
      </c>
      <c r="B167" s="55">
        <v>2248000</v>
      </c>
      <c r="C167" s="55">
        <v>2196370.4249105351</v>
      </c>
      <c r="D167" s="55">
        <v>1986918.7766279592</v>
      </c>
      <c r="E167" s="55">
        <v>1710274.5441133208</v>
      </c>
      <c r="F167" s="55"/>
      <c r="G167" s="55">
        <v>1433630.3115986825</v>
      </c>
      <c r="H167" s="53">
        <v>982257.6511180012</v>
      </c>
      <c r="I167" s="55">
        <v>530884.99063731998</v>
      </c>
    </row>
    <row r="168" spans="1:19" x14ac:dyDescent="0.25">
      <c r="A168" s="54" t="s">
        <v>43</v>
      </c>
      <c r="B168" s="52">
        <v>11547</v>
      </c>
      <c r="C168" s="53">
        <v>10464.681168678497</v>
      </c>
      <c r="D168" s="56">
        <v>9382.3623373569935</v>
      </c>
      <c r="E168" s="53">
        <v>6346.7860628244762</v>
      </c>
      <c r="F168" s="53"/>
      <c r="G168" s="56">
        <v>3311.2097882919593</v>
      </c>
      <c r="H168" s="53">
        <v>2442.8308606545311</v>
      </c>
      <c r="I168" s="56">
        <v>1574.4519330171031</v>
      </c>
    </row>
    <row r="169" spans="1:19" x14ac:dyDescent="0.25">
      <c r="A169" s="54" t="s">
        <v>102</v>
      </c>
      <c r="B169" s="52">
        <v>499</v>
      </c>
      <c r="C169" s="53">
        <v>377.37591869984442</v>
      </c>
      <c r="D169" s="56">
        <v>255.75183739968878</v>
      </c>
      <c r="E169" s="53">
        <v>157.7467294717367</v>
      </c>
      <c r="F169" s="53"/>
      <c r="G169" s="56">
        <v>59.741621543784618</v>
      </c>
      <c r="H169" s="53">
        <v>45.445733495196706</v>
      </c>
      <c r="I169" s="56">
        <v>31.149845446608797</v>
      </c>
    </row>
    <row r="170" spans="1:19" x14ac:dyDescent="0.25">
      <c r="A170" s="54" t="s">
        <v>83</v>
      </c>
      <c r="B170" s="52">
        <v>76</v>
      </c>
      <c r="C170" s="53">
        <v>44.196060346830421</v>
      </c>
      <c r="D170" s="56">
        <v>12.392120693660845</v>
      </c>
      <c r="E170" s="53">
        <v>11.2389595678454</v>
      </c>
      <c r="F170" s="53"/>
      <c r="G170" s="56">
        <v>10.085798442029956</v>
      </c>
      <c r="H170" s="53">
        <v>8.095476745103765</v>
      </c>
      <c r="I170" s="56">
        <v>6.1051550481775747</v>
      </c>
    </row>
    <row r="171" spans="1:19" x14ac:dyDescent="0.25">
      <c r="A171" s="54" t="s">
        <v>85</v>
      </c>
      <c r="B171" s="52">
        <v>2578</v>
      </c>
      <c r="C171" s="53">
        <v>2186.8247549311191</v>
      </c>
      <c r="D171" s="56">
        <v>1795.6495098622383</v>
      </c>
      <c r="E171" s="53">
        <v>1258.610839707635</v>
      </c>
      <c r="F171" s="53"/>
      <c r="G171" s="56">
        <v>721.57216955303193</v>
      </c>
      <c r="H171" s="53">
        <v>558.95433775381798</v>
      </c>
      <c r="I171" s="56">
        <v>396.33650595460409</v>
      </c>
    </row>
    <row r="172" spans="1:19" x14ac:dyDescent="0.25">
      <c r="D172" s="54"/>
      <c r="E172" s="54"/>
      <c r="F172" s="54"/>
      <c r="G172" s="54"/>
      <c r="I172" s="54"/>
    </row>
    <row r="173" spans="1:19" x14ac:dyDescent="0.25">
      <c r="A173" s="219"/>
      <c r="B173" s="215"/>
      <c r="C173" s="215"/>
      <c r="D173" s="215"/>
      <c r="E173" s="215"/>
      <c r="F173" s="215"/>
      <c r="G173" s="71"/>
      <c r="H173" s="220"/>
      <c r="L173" s="228" t="s">
        <v>97</v>
      </c>
      <c r="M173" s="230"/>
      <c r="N173" s="230"/>
      <c r="O173" s="230"/>
      <c r="P173" s="230"/>
      <c r="Q173" s="230"/>
      <c r="R173" s="231"/>
      <c r="S173" s="231"/>
    </row>
    <row r="174" spans="1:19" x14ac:dyDescent="0.25">
      <c r="A174" s="69"/>
      <c r="B174" s="67"/>
      <c r="C174" s="67"/>
      <c r="D174" s="67"/>
      <c r="E174" s="67"/>
      <c r="F174" s="67"/>
      <c r="G174" s="67"/>
      <c r="H174" s="222"/>
      <c r="L174" s="228"/>
      <c r="M174" s="230"/>
      <c r="N174" s="230"/>
      <c r="O174" s="230"/>
      <c r="P174" s="230"/>
      <c r="Q174" s="230"/>
      <c r="R174" s="231"/>
      <c r="S174" s="231"/>
    </row>
    <row r="175" spans="1:19" s="213" customFormat="1" x14ac:dyDescent="0.25">
      <c r="A175" s="223" t="s">
        <v>43</v>
      </c>
      <c r="B175" s="214">
        <v>2011</v>
      </c>
      <c r="C175" s="214">
        <v>2015</v>
      </c>
      <c r="D175" s="214">
        <v>2020</v>
      </c>
      <c r="E175" s="214">
        <v>2025</v>
      </c>
      <c r="F175" s="214">
        <v>2030</v>
      </c>
      <c r="G175" s="214">
        <v>2040</v>
      </c>
      <c r="H175" s="224">
        <v>2050</v>
      </c>
      <c r="L175" s="223">
        <v>2011</v>
      </c>
      <c r="M175" s="214">
        <v>2015</v>
      </c>
      <c r="N175" s="214">
        <v>2020</v>
      </c>
      <c r="O175" s="214">
        <v>2025</v>
      </c>
      <c r="P175" s="214">
        <v>2030</v>
      </c>
      <c r="Q175" s="214">
        <v>2040</v>
      </c>
      <c r="R175" s="224">
        <v>2050</v>
      </c>
      <c r="S175" s="224"/>
    </row>
    <row r="176" spans="1:19" x14ac:dyDescent="0.25">
      <c r="A176" s="219" t="s">
        <v>42</v>
      </c>
      <c r="B176" s="71">
        <f>B154</f>
        <v>11547</v>
      </c>
      <c r="C176" s="71">
        <f>C154</f>
        <v>11241.824886642728</v>
      </c>
      <c r="D176" s="71">
        <f>D154</f>
        <v>10936.649773285453</v>
      </c>
      <c r="E176" s="71">
        <f>E154</f>
        <v>8187.1607763131724</v>
      </c>
      <c r="F176" s="71">
        <f>G154</f>
        <v>5437.6717793408925</v>
      </c>
      <c r="G176" s="71">
        <f t="shared" ref="G176:G184" si="29">AVERAGE(F176,H176)</f>
        <v>4775.0774668934791</v>
      </c>
      <c r="H176" s="225">
        <f>I154</f>
        <v>4112.4831544460658</v>
      </c>
      <c r="L176" s="69"/>
      <c r="M176" s="67"/>
      <c r="N176" s="67"/>
      <c r="O176" s="67"/>
      <c r="P176" s="67"/>
      <c r="Q176" s="67"/>
      <c r="R176" s="222"/>
      <c r="S176" s="222"/>
    </row>
    <row r="177" spans="1:19" x14ac:dyDescent="0.25">
      <c r="A177" s="221" t="s">
        <v>91</v>
      </c>
      <c r="B177" s="215">
        <f>L177*B176</f>
        <v>5046.0389999999998</v>
      </c>
      <c r="C177" s="215">
        <f t="shared" ref="C177" si="30">M177*C176</f>
        <v>4912.6774754628723</v>
      </c>
      <c r="D177" s="215">
        <f t="shared" ref="D177" si="31">N177*D176</f>
        <v>4812.125900245599</v>
      </c>
      <c r="E177" s="215">
        <f t="shared" ref="E177" si="32">O177*E176</f>
        <v>3684.2223493409278</v>
      </c>
      <c r="F177" s="215">
        <f t="shared" ref="F177" si="33">P177*F176</f>
        <v>2501.3290184968105</v>
      </c>
      <c r="G177" s="215">
        <f t="shared" ref="G177" si="34">Q177*G176</f>
        <v>1933.9063740918591</v>
      </c>
      <c r="H177" s="215">
        <f t="shared" ref="H177" si="35">R177*H176</f>
        <v>1439.369104056123</v>
      </c>
      <c r="K177" s="221" t="s">
        <v>98</v>
      </c>
      <c r="L177" s="232">
        <f t="shared" ref="L177:M179" si="36">L233</f>
        <v>0.437</v>
      </c>
      <c r="M177" s="232">
        <f t="shared" si="36"/>
        <v>0.437</v>
      </c>
      <c r="N177" s="233">
        <v>0.44</v>
      </c>
      <c r="O177" s="233">
        <f>AVERAGE(N177,P177)</f>
        <v>0.45</v>
      </c>
      <c r="P177" s="233">
        <v>0.46</v>
      </c>
      <c r="Q177" s="233">
        <f>AVERAGE(P177,R177)</f>
        <v>0.40500000000000003</v>
      </c>
      <c r="R177" s="234">
        <v>0.35</v>
      </c>
      <c r="S177" s="222"/>
    </row>
    <row r="178" spans="1:19" x14ac:dyDescent="0.25">
      <c r="A178" s="221" t="s">
        <v>79</v>
      </c>
      <c r="B178" s="215">
        <f>L178*B176</f>
        <v>6235.38</v>
      </c>
      <c r="C178" s="215">
        <f t="shared" ref="C178" si="37">M178*C176</f>
        <v>6070.5854387870731</v>
      </c>
      <c r="D178" s="215">
        <f t="shared" ref="D178" si="38">N178*D176</f>
        <v>5796.4243798412908</v>
      </c>
      <c r="E178" s="215">
        <f t="shared" ref="E178" si="39">O178*E176</f>
        <v>4216.387799801284</v>
      </c>
      <c r="F178" s="215">
        <f t="shared" ref="F178" si="40">P178*F176</f>
        <v>2718.8358896704462</v>
      </c>
      <c r="G178" s="215">
        <f t="shared" ref="G178" si="41">Q178*G176</f>
        <v>2506.9156701190768</v>
      </c>
      <c r="H178" s="215">
        <f t="shared" ref="H178" si="42">R178*H176</f>
        <v>2261.8657349453365</v>
      </c>
      <c r="K178" s="221" t="s">
        <v>79</v>
      </c>
      <c r="L178" s="232">
        <f t="shared" si="36"/>
        <v>0.54</v>
      </c>
      <c r="M178" s="232">
        <f t="shared" si="36"/>
        <v>0.54</v>
      </c>
      <c r="N178" s="233">
        <v>0.53</v>
      </c>
      <c r="O178" s="233">
        <f t="shared" ref="O178:O187" si="43">AVERAGE(N178,P178)</f>
        <v>0.51500000000000001</v>
      </c>
      <c r="P178" s="233">
        <v>0.5</v>
      </c>
      <c r="Q178" s="233">
        <f t="shared" ref="Q178:Q187" si="44">AVERAGE(P178,R178)</f>
        <v>0.52500000000000002</v>
      </c>
      <c r="R178" s="234">
        <v>0.55000000000000004</v>
      </c>
      <c r="S178" s="222"/>
    </row>
    <row r="179" spans="1:19" x14ac:dyDescent="0.25">
      <c r="A179" s="221" t="s">
        <v>80</v>
      </c>
      <c r="B179" s="215">
        <f>L179*B176</f>
        <v>265.58100000000002</v>
      </c>
      <c r="C179" s="215">
        <f t="shared" ref="C179" si="45">M179*C176</f>
        <v>258.56197239278271</v>
      </c>
      <c r="D179" s="215">
        <f t="shared" ref="D179" si="46">N179*D176</f>
        <v>328.09949319856361</v>
      </c>
      <c r="E179" s="215">
        <f t="shared" ref="E179" si="47">O179*E176</f>
        <v>327.48643105252688</v>
      </c>
      <c r="F179" s="215">
        <f t="shared" ref="F179" si="48">P179*F176</f>
        <v>271.88358896704466</v>
      </c>
      <c r="G179" s="215">
        <f t="shared" ref="G179" si="49">Q179*G176</f>
        <v>358.13081001701102</v>
      </c>
      <c r="H179" s="215">
        <f t="shared" ref="H179" si="50">R179*H176</f>
        <v>411.24831544460659</v>
      </c>
      <c r="K179" s="221" t="s">
        <v>80</v>
      </c>
      <c r="L179" s="232">
        <f t="shared" si="36"/>
        <v>2.3E-2</v>
      </c>
      <c r="M179" s="232">
        <f t="shared" si="36"/>
        <v>2.3E-2</v>
      </c>
      <c r="N179" s="233">
        <v>0.03</v>
      </c>
      <c r="O179" s="233">
        <f t="shared" si="43"/>
        <v>0.04</v>
      </c>
      <c r="P179" s="233">
        <v>0.05</v>
      </c>
      <c r="Q179" s="233">
        <f t="shared" si="44"/>
        <v>7.5000000000000011E-2</v>
      </c>
      <c r="R179" s="234">
        <v>0.1</v>
      </c>
      <c r="S179" s="222"/>
    </row>
    <row r="180" spans="1:19" x14ac:dyDescent="0.25">
      <c r="A180" s="219" t="s">
        <v>24</v>
      </c>
      <c r="B180" s="71">
        <f>B161</f>
        <v>11547</v>
      </c>
      <c r="C180" s="71">
        <f>C161</f>
        <v>10600.78760539864</v>
      </c>
      <c r="D180" s="71">
        <f>D161</f>
        <v>9654.5752107972803</v>
      </c>
      <c r="E180" s="71">
        <f>E161</f>
        <v>6991.1111204496146</v>
      </c>
      <c r="F180" s="71">
        <f>G161</f>
        <v>4327.647030101949</v>
      </c>
      <c r="G180" s="71">
        <f t="shared" si="29"/>
        <v>3698.4454131484799</v>
      </c>
      <c r="H180" s="225">
        <f>I161</f>
        <v>3069.2437961950113</v>
      </c>
      <c r="L180" s="69"/>
      <c r="M180" s="67"/>
      <c r="N180" s="233"/>
      <c r="O180" s="233"/>
      <c r="P180" s="233"/>
      <c r="Q180" s="233"/>
      <c r="R180" s="234"/>
      <c r="S180" s="222"/>
    </row>
    <row r="181" spans="1:19" x14ac:dyDescent="0.25">
      <c r="A181" s="221" t="s">
        <v>91</v>
      </c>
      <c r="B181" s="215">
        <f>L181*B180</f>
        <v>5046.0389999999998</v>
      </c>
      <c r="C181" s="215">
        <f t="shared" ref="C181" si="51">M181*C180</f>
        <v>4632.5441835592055</v>
      </c>
      <c r="D181" s="215">
        <f t="shared" ref="D181" si="52">N181*D180</f>
        <v>4248.0130927508035</v>
      </c>
      <c r="E181" s="215">
        <f t="shared" ref="E181" si="53">O181*E180</f>
        <v>2936.2666705888382</v>
      </c>
      <c r="F181" s="215">
        <f t="shared" ref="F181" si="54">P181*F180</f>
        <v>1731.0588120407797</v>
      </c>
      <c r="G181" s="215">
        <f t="shared" ref="G181" si="55">Q181*G180</f>
        <v>1201.994759273256</v>
      </c>
      <c r="H181" s="215">
        <f t="shared" ref="H181" si="56">R181*H180</f>
        <v>767.31094904875283</v>
      </c>
      <c r="K181" s="221" t="s">
        <v>98</v>
      </c>
      <c r="L181" s="232">
        <f t="shared" ref="L181:M183" si="57">L237</f>
        <v>0.437</v>
      </c>
      <c r="M181" s="232">
        <f t="shared" si="57"/>
        <v>0.437</v>
      </c>
      <c r="N181" s="233">
        <v>0.44</v>
      </c>
      <c r="O181" s="233">
        <f t="shared" si="43"/>
        <v>0.42000000000000004</v>
      </c>
      <c r="P181" s="233">
        <v>0.4</v>
      </c>
      <c r="Q181" s="233">
        <f t="shared" si="44"/>
        <v>0.32500000000000001</v>
      </c>
      <c r="R181" s="234">
        <v>0.25</v>
      </c>
      <c r="S181" s="222"/>
    </row>
    <row r="182" spans="1:19" x14ac:dyDescent="0.25">
      <c r="A182" s="221" t="s">
        <v>79</v>
      </c>
      <c r="B182" s="215">
        <f>L182*B180</f>
        <v>6235.38</v>
      </c>
      <c r="C182" s="215">
        <f t="shared" ref="C182" si="58">M182*C180</f>
        <v>5724.4253069152664</v>
      </c>
      <c r="D182" s="215">
        <f t="shared" ref="D182" si="59">N182*D180</f>
        <v>5116.9248617225585</v>
      </c>
      <c r="E182" s="215">
        <f t="shared" ref="E182" si="60">O182*E180</f>
        <v>3705.2888938382957</v>
      </c>
      <c r="F182" s="215">
        <f t="shared" ref="F182" si="61">P182*F180</f>
        <v>2293.652925954033</v>
      </c>
      <c r="G182" s="215">
        <f t="shared" ref="G182" si="62">Q182*G180</f>
        <v>2145.0983396261186</v>
      </c>
      <c r="H182" s="215">
        <f t="shared" ref="H182" si="63">R182*H180</f>
        <v>1933.6235916028572</v>
      </c>
      <c r="K182" s="221" t="s">
        <v>79</v>
      </c>
      <c r="L182" s="232">
        <f t="shared" si="57"/>
        <v>0.54</v>
      </c>
      <c r="M182" s="232">
        <f t="shared" si="57"/>
        <v>0.54</v>
      </c>
      <c r="N182" s="233">
        <v>0.53</v>
      </c>
      <c r="O182" s="233">
        <f t="shared" si="43"/>
        <v>0.53</v>
      </c>
      <c r="P182" s="233">
        <v>0.53</v>
      </c>
      <c r="Q182" s="233">
        <f t="shared" si="44"/>
        <v>0.58000000000000007</v>
      </c>
      <c r="R182" s="234">
        <v>0.63</v>
      </c>
      <c r="S182" s="222"/>
    </row>
    <row r="183" spans="1:19" x14ac:dyDescent="0.25">
      <c r="A183" s="221" t="s">
        <v>80</v>
      </c>
      <c r="B183" s="215">
        <f>L183*B180</f>
        <v>265.58100000000002</v>
      </c>
      <c r="C183" s="215">
        <f t="shared" ref="C183" si="64">M183*C180</f>
        <v>243.81811492416873</v>
      </c>
      <c r="D183" s="215">
        <f t="shared" ref="D183" si="65">N183*D180</f>
        <v>289.63725632391839</v>
      </c>
      <c r="E183" s="215">
        <f t="shared" ref="E183" si="66">O183*E180</f>
        <v>349.55555602248074</v>
      </c>
      <c r="F183" s="215">
        <f t="shared" ref="F183" si="67">P183*F180</f>
        <v>302.93529210713643</v>
      </c>
      <c r="G183" s="215">
        <f t="shared" ref="G183" si="68">Q183*G180</f>
        <v>351.35231424910558</v>
      </c>
      <c r="H183" s="215">
        <f t="shared" ref="H183" si="69">R183*H180</f>
        <v>368.30925554340132</v>
      </c>
      <c r="K183" s="221" t="s">
        <v>80</v>
      </c>
      <c r="L183" s="232">
        <f t="shared" si="57"/>
        <v>2.3E-2</v>
      </c>
      <c r="M183" s="232">
        <f t="shared" si="57"/>
        <v>2.3E-2</v>
      </c>
      <c r="N183" s="233">
        <v>0.03</v>
      </c>
      <c r="O183" s="233">
        <f t="shared" si="43"/>
        <v>0.05</v>
      </c>
      <c r="P183" s="233">
        <v>7.0000000000000007E-2</v>
      </c>
      <c r="Q183" s="233">
        <f t="shared" si="44"/>
        <v>9.5000000000000001E-2</v>
      </c>
      <c r="R183" s="234">
        <v>0.12</v>
      </c>
      <c r="S183" s="222"/>
    </row>
    <row r="184" spans="1:19" x14ac:dyDescent="0.25">
      <c r="A184" s="219" t="s">
        <v>41</v>
      </c>
      <c r="B184" s="71">
        <f>B168</f>
        <v>11547</v>
      </c>
      <c r="C184" s="71">
        <f>C168</f>
        <v>10464.681168678497</v>
      </c>
      <c r="D184" s="71">
        <f>D168</f>
        <v>9382.3623373569935</v>
      </c>
      <c r="E184" s="71">
        <f>E168</f>
        <v>6346.7860628244762</v>
      </c>
      <c r="F184" s="71">
        <f>G168</f>
        <v>3311.2097882919593</v>
      </c>
      <c r="G184" s="71">
        <f t="shared" si="29"/>
        <v>2442.8308606545311</v>
      </c>
      <c r="H184" s="225">
        <f>I168</f>
        <v>1574.4519330171031</v>
      </c>
      <c r="L184" s="69"/>
      <c r="M184" s="67"/>
      <c r="N184" s="233"/>
      <c r="O184" s="233"/>
      <c r="P184" s="233"/>
      <c r="Q184" s="233"/>
      <c r="R184" s="234"/>
      <c r="S184" s="222"/>
    </row>
    <row r="185" spans="1:19" x14ac:dyDescent="0.25">
      <c r="A185" s="221" t="s">
        <v>91</v>
      </c>
      <c r="B185" s="215">
        <f>L185*B184</f>
        <v>5046.0389999999998</v>
      </c>
      <c r="C185" s="215">
        <f t="shared" ref="C185" si="70">M185*C184</f>
        <v>4573.0656707125027</v>
      </c>
      <c r="D185" s="215">
        <f t="shared" ref="D185" si="71">N185*D184</f>
        <v>4128.2394284370775</v>
      </c>
      <c r="E185" s="215">
        <f t="shared" ref="E185" si="72">O185*E184</f>
        <v>2348.3108432450563</v>
      </c>
      <c r="F185" s="215">
        <f t="shared" ref="F185" si="73">P185*F184</f>
        <v>993.36293648758772</v>
      </c>
      <c r="G185" s="215">
        <f t="shared" ref="G185" si="74">Q185*G184</f>
        <v>549.63694364726939</v>
      </c>
      <c r="H185" s="215">
        <f t="shared" ref="H185" si="75">R185*H184</f>
        <v>236.16778995256544</v>
      </c>
      <c r="K185" s="221" t="s">
        <v>98</v>
      </c>
      <c r="L185" s="232">
        <f t="shared" ref="L185:M187" si="76">L241</f>
        <v>0.437</v>
      </c>
      <c r="M185" s="232">
        <f t="shared" si="76"/>
        <v>0.437</v>
      </c>
      <c r="N185" s="233">
        <v>0.44</v>
      </c>
      <c r="O185" s="233">
        <f t="shared" si="43"/>
        <v>0.37</v>
      </c>
      <c r="P185" s="233">
        <v>0.3</v>
      </c>
      <c r="Q185" s="233">
        <f t="shared" si="44"/>
        <v>0.22499999999999998</v>
      </c>
      <c r="R185" s="234">
        <v>0.15</v>
      </c>
      <c r="S185" s="222"/>
    </row>
    <row r="186" spans="1:19" x14ac:dyDescent="0.25">
      <c r="A186" s="221" t="s">
        <v>79</v>
      </c>
      <c r="B186" s="215">
        <f>L186*B184</f>
        <v>6235.38</v>
      </c>
      <c r="C186" s="215">
        <f t="shared" ref="C186" si="77">M186*C184</f>
        <v>5650.9278310863883</v>
      </c>
      <c r="D186" s="215">
        <f t="shared" ref="D186" si="78">N186*D184</f>
        <v>4972.6520387992068</v>
      </c>
      <c r="E186" s="215">
        <f t="shared" ref="E186" si="79">O186*E184</f>
        <v>3585.9341254958285</v>
      </c>
      <c r="F186" s="215">
        <f t="shared" ref="F186" si="80">P186*F184</f>
        <v>1986.7258729751754</v>
      </c>
      <c r="G186" s="215">
        <f t="shared" ref="G186" si="81">Q186*G184</f>
        <v>1587.8400594254449</v>
      </c>
      <c r="H186" s="215">
        <f t="shared" ref="H186" si="82">R186*H184</f>
        <v>1102.1163531119721</v>
      </c>
      <c r="K186" s="221" t="s">
        <v>79</v>
      </c>
      <c r="L186" s="232">
        <f t="shared" si="76"/>
        <v>0.54</v>
      </c>
      <c r="M186" s="232">
        <f t="shared" si="76"/>
        <v>0.54</v>
      </c>
      <c r="N186" s="233">
        <v>0.53</v>
      </c>
      <c r="O186" s="233">
        <f t="shared" si="43"/>
        <v>0.56499999999999995</v>
      </c>
      <c r="P186" s="233">
        <v>0.6</v>
      </c>
      <c r="Q186" s="233">
        <f t="shared" si="44"/>
        <v>0.64999999999999991</v>
      </c>
      <c r="R186" s="234">
        <v>0.7</v>
      </c>
      <c r="S186" s="222"/>
    </row>
    <row r="187" spans="1:19" x14ac:dyDescent="0.25">
      <c r="A187" s="221" t="s">
        <v>80</v>
      </c>
      <c r="B187" s="215">
        <f>L187*B184</f>
        <v>265.58100000000002</v>
      </c>
      <c r="C187" s="215">
        <f t="shared" ref="C187" si="83">M187*C184</f>
        <v>240.68766687960542</v>
      </c>
      <c r="D187" s="215">
        <f t="shared" ref="D187" si="84">N187*D184</f>
        <v>281.47087012070978</v>
      </c>
      <c r="E187" s="215">
        <f t="shared" ref="E187" si="85">O187*E184</f>
        <v>412.54109408359096</v>
      </c>
      <c r="F187" s="215">
        <f t="shared" ref="F187" si="86">P187*F184</f>
        <v>331.12097882919596</v>
      </c>
      <c r="G187" s="215">
        <f t="shared" ref="G187" si="87">Q187*G184</f>
        <v>305.35385758181638</v>
      </c>
      <c r="H187" s="215">
        <f t="shared" ref="H187" si="88">R187*H184</f>
        <v>236.16778995256544</v>
      </c>
      <c r="K187" s="221" t="s">
        <v>80</v>
      </c>
      <c r="L187" s="232">
        <f t="shared" si="76"/>
        <v>2.3E-2</v>
      </c>
      <c r="M187" s="232">
        <f t="shared" si="76"/>
        <v>2.3E-2</v>
      </c>
      <c r="N187" s="233">
        <v>0.03</v>
      </c>
      <c r="O187" s="233">
        <f t="shared" si="43"/>
        <v>6.5000000000000002E-2</v>
      </c>
      <c r="P187" s="233">
        <v>0.1</v>
      </c>
      <c r="Q187" s="233">
        <f t="shared" si="44"/>
        <v>0.125</v>
      </c>
      <c r="R187" s="234">
        <v>0.15</v>
      </c>
      <c r="S187" s="222"/>
    </row>
    <row r="188" spans="1:19" x14ac:dyDescent="0.25">
      <c r="A188" s="69"/>
      <c r="B188" s="67"/>
      <c r="C188" s="67"/>
      <c r="D188" s="67"/>
      <c r="E188" s="67"/>
      <c r="F188" s="67"/>
      <c r="G188" s="67"/>
      <c r="H188" s="222"/>
      <c r="L188" s="69"/>
      <c r="M188" s="67"/>
      <c r="N188" s="68"/>
      <c r="O188" s="68"/>
      <c r="P188" s="68"/>
      <c r="Q188" s="68"/>
      <c r="R188" s="235"/>
      <c r="S188" s="222"/>
    </row>
    <row r="189" spans="1:19" s="213" customFormat="1" x14ac:dyDescent="0.25">
      <c r="A189" s="223" t="s">
        <v>102</v>
      </c>
      <c r="B189" s="214">
        <v>2011</v>
      </c>
      <c r="C189" s="214">
        <v>2015</v>
      </c>
      <c r="D189" s="214">
        <v>2020</v>
      </c>
      <c r="E189" s="214">
        <v>2025</v>
      </c>
      <c r="F189" s="214">
        <v>2030</v>
      </c>
      <c r="G189" s="214">
        <v>2040</v>
      </c>
      <c r="H189" s="224">
        <v>2050</v>
      </c>
      <c r="L189" s="223">
        <v>2011</v>
      </c>
      <c r="M189" s="214">
        <v>2015</v>
      </c>
      <c r="N189" s="214">
        <v>2020</v>
      </c>
      <c r="O189" s="214">
        <v>2025</v>
      </c>
      <c r="P189" s="214">
        <v>2030</v>
      </c>
      <c r="Q189" s="214">
        <v>2040</v>
      </c>
      <c r="R189" s="224">
        <v>2050</v>
      </c>
      <c r="S189" s="224"/>
    </row>
    <row r="190" spans="1:19" x14ac:dyDescent="0.25">
      <c r="A190" s="219" t="s">
        <v>42</v>
      </c>
      <c r="B190" s="71">
        <f>B155</f>
        <v>499</v>
      </c>
      <c r="C190" s="71">
        <f>C155</f>
        <v>396.87667813740211</v>
      </c>
      <c r="D190" s="71">
        <f>D155</f>
        <v>294.75335627480422</v>
      </c>
      <c r="E190" s="71">
        <f>E155</f>
        <v>201.92424648411378</v>
      </c>
      <c r="F190" s="71">
        <f>G155</f>
        <v>109.09513669342337</v>
      </c>
      <c r="G190" s="71">
        <f t="shared" ref="G190:G198" si="89">AVERAGE(F190,H190)</f>
        <v>100.07792184880806</v>
      </c>
      <c r="H190" s="225">
        <f>I155</f>
        <v>91.06070700419275</v>
      </c>
      <c r="L190" s="69"/>
      <c r="M190" s="67"/>
      <c r="N190" s="68"/>
      <c r="O190" s="68"/>
      <c r="P190" s="68"/>
      <c r="Q190" s="68"/>
      <c r="R190" s="235"/>
      <c r="S190" s="222"/>
    </row>
    <row r="191" spans="1:19" x14ac:dyDescent="0.25">
      <c r="A191" s="221" t="s">
        <v>91</v>
      </c>
      <c r="B191" s="215">
        <f>L191*B190</f>
        <v>218.06299999999999</v>
      </c>
      <c r="C191" s="215">
        <f t="shared" ref="C191" si="90">M191*C190</f>
        <v>173.43510834604473</v>
      </c>
      <c r="D191" s="215">
        <f t="shared" ref="D191" si="91">N191*D190</f>
        <v>129.69147676091384</v>
      </c>
      <c r="E191" s="215">
        <f t="shared" ref="E191" si="92">O191*E190</f>
        <v>90.86591091785121</v>
      </c>
      <c r="F191" s="215">
        <f t="shared" ref="F191" si="93">P191*F190</f>
        <v>50.183762878974754</v>
      </c>
      <c r="G191" s="215">
        <f t="shared" ref="G191" si="94">Q191*G190</f>
        <v>40.53155834876727</v>
      </c>
      <c r="H191" s="215">
        <f t="shared" ref="H191" si="95">R191*H190</f>
        <v>31.871247451467461</v>
      </c>
      <c r="K191" s="221" t="s">
        <v>98</v>
      </c>
      <c r="L191" s="232">
        <f>L177</f>
        <v>0.437</v>
      </c>
      <c r="M191" s="232">
        <f t="shared" ref="M191:R191" si="96">M177</f>
        <v>0.437</v>
      </c>
      <c r="N191" s="236">
        <f t="shared" si="96"/>
        <v>0.44</v>
      </c>
      <c r="O191" s="236">
        <f t="shared" si="96"/>
        <v>0.45</v>
      </c>
      <c r="P191" s="236">
        <f t="shared" si="96"/>
        <v>0.46</v>
      </c>
      <c r="Q191" s="236">
        <f t="shared" si="96"/>
        <v>0.40500000000000003</v>
      </c>
      <c r="R191" s="236">
        <f t="shared" si="96"/>
        <v>0.35</v>
      </c>
      <c r="S191" s="222"/>
    </row>
    <row r="192" spans="1:19" x14ac:dyDescent="0.25">
      <c r="A192" s="221" t="s">
        <v>79</v>
      </c>
      <c r="B192" s="215">
        <f>L192*B190</f>
        <v>269.46000000000004</v>
      </c>
      <c r="C192" s="215">
        <f t="shared" ref="C192:H192" si="97">M192*C190</f>
        <v>214.31340619419714</v>
      </c>
      <c r="D192" s="215">
        <f t="shared" si="97"/>
        <v>156.21927882564626</v>
      </c>
      <c r="E192" s="215">
        <f t="shared" si="97"/>
        <v>103.9909869393186</v>
      </c>
      <c r="F192" s="215">
        <f t="shared" si="97"/>
        <v>54.547568346711685</v>
      </c>
      <c r="G192" s="215">
        <f t="shared" si="97"/>
        <v>52.540908970624237</v>
      </c>
      <c r="H192" s="215">
        <f t="shared" si="97"/>
        <v>50.083388852306015</v>
      </c>
      <c r="K192" s="221" t="s">
        <v>79</v>
      </c>
      <c r="L192" s="232">
        <f t="shared" ref="L192:R192" si="98">L178</f>
        <v>0.54</v>
      </c>
      <c r="M192" s="232">
        <f t="shared" si="98"/>
        <v>0.54</v>
      </c>
      <c r="N192" s="236">
        <f t="shared" si="98"/>
        <v>0.53</v>
      </c>
      <c r="O192" s="236">
        <f t="shared" si="98"/>
        <v>0.51500000000000001</v>
      </c>
      <c r="P192" s="236">
        <f t="shared" si="98"/>
        <v>0.5</v>
      </c>
      <c r="Q192" s="236">
        <f t="shared" si="98"/>
        <v>0.52500000000000002</v>
      </c>
      <c r="R192" s="236">
        <f t="shared" si="98"/>
        <v>0.55000000000000004</v>
      </c>
      <c r="S192" s="222"/>
    </row>
    <row r="193" spans="1:19" x14ac:dyDescent="0.25">
      <c r="A193" s="221" t="s">
        <v>80</v>
      </c>
      <c r="B193" s="215">
        <f>L193*B190</f>
        <v>11.477</v>
      </c>
      <c r="C193" s="215">
        <f t="shared" ref="C193:H193" si="99">M193*C190</f>
        <v>9.1281635971602491</v>
      </c>
      <c r="D193" s="215">
        <f t="shared" si="99"/>
        <v>8.8426006882441257</v>
      </c>
      <c r="E193" s="215">
        <f t="shared" si="99"/>
        <v>8.0769698593645511</v>
      </c>
      <c r="F193" s="215">
        <f t="shared" si="99"/>
        <v>5.4547568346711692</v>
      </c>
      <c r="G193" s="215">
        <f t="shared" si="99"/>
        <v>7.5058441386606054</v>
      </c>
      <c r="H193" s="215">
        <f t="shared" si="99"/>
        <v>9.1060707004192754</v>
      </c>
      <c r="K193" s="221" t="s">
        <v>80</v>
      </c>
      <c r="L193" s="232">
        <f t="shared" ref="L193:R193" si="100">L179</f>
        <v>2.3E-2</v>
      </c>
      <c r="M193" s="232">
        <f t="shared" si="100"/>
        <v>2.3E-2</v>
      </c>
      <c r="N193" s="236">
        <f t="shared" si="100"/>
        <v>0.03</v>
      </c>
      <c r="O193" s="236">
        <f t="shared" si="100"/>
        <v>0.04</v>
      </c>
      <c r="P193" s="236">
        <f t="shared" si="100"/>
        <v>0.05</v>
      </c>
      <c r="Q193" s="236">
        <f t="shared" si="100"/>
        <v>7.5000000000000011E-2</v>
      </c>
      <c r="R193" s="236">
        <f t="shared" si="100"/>
        <v>0.1</v>
      </c>
      <c r="S193" s="222"/>
    </row>
    <row r="194" spans="1:19" x14ac:dyDescent="0.25">
      <c r="A194" s="219" t="s">
        <v>24</v>
      </c>
      <c r="B194" s="71">
        <f>B162</f>
        <v>499</v>
      </c>
      <c r="C194" s="71">
        <f>C162</f>
        <v>382.04363922878736</v>
      </c>
      <c r="D194" s="71">
        <f>D162</f>
        <v>265.08727845757471</v>
      </c>
      <c r="E194" s="71">
        <f>E162</f>
        <v>175.67518353333026</v>
      </c>
      <c r="F194" s="71">
        <f>G162</f>
        <v>86.263088609085813</v>
      </c>
      <c r="G194" s="71">
        <f t="shared" si="89"/>
        <v>78.927712370238879</v>
      </c>
      <c r="H194" s="225">
        <f>I162</f>
        <v>71.592336131391932</v>
      </c>
      <c r="L194" s="232"/>
      <c r="M194" s="232"/>
      <c r="N194" s="236"/>
      <c r="O194" s="236"/>
      <c r="P194" s="236"/>
      <c r="Q194" s="236"/>
      <c r="R194" s="236"/>
      <c r="S194" s="222"/>
    </row>
    <row r="195" spans="1:19" x14ac:dyDescent="0.25">
      <c r="A195" s="221" t="s">
        <v>91</v>
      </c>
      <c r="B195" s="215">
        <f>L195*B194</f>
        <v>218.06299999999999</v>
      </c>
      <c r="C195" s="215">
        <f t="shared" ref="C195" si="101">M195*C194</f>
        <v>166.95307034298008</v>
      </c>
      <c r="D195" s="215">
        <f t="shared" ref="D195" si="102">N195*D194</f>
        <v>116.63840252133288</v>
      </c>
      <c r="E195" s="215">
        <f t="shared" ref="E195" si="103">O195*E194</f>
        <v>73.783577083998708</v>
      </c>
      <c r="F195" s="215">
        <f t="shared" ref="F195" si="104">P195*F194</f>
        <v>34.505235443634326</v>
      </c>
      <c r="G195" s="215">
        <f t="shared" ref="G195" si="105">Q195*G194</f>
        <v>25.651506520327636</v>
      </c>
      <c r="H195" s="215">
        <f t="shared" ref="H195" si="106">R195*H194</f>
        <v>17.898084032847983</v>
      </c>
      <c r="K195" s="221" t="s">
        <v>98</v>
      </c>
      <c r="L195" s="232">
        <f t="shared" ref="L195:R195" si="107">L181</f>
        <v>0.437</v>
      </c>
      <c r="M195" s="232">
        <f t="shared" si="107"/>
        <v>0.437</v>
      </c>
      <c r="N195" s="236">
        <f t="shared" si="107"/>
        <v>0.44</v>
      </c>
      <c r="O195" s="236">
        <f t="shared" si="107"/>
        <v>0.42000000000000004</v>
      </c>
      <c r="P195" s="236">
        <f t="shared" si="107"/>
        <v>0.4</v>
      </c>
      <c r="Q195" s="236">
        <f t="shared" si="107"/>
        <v>0.32500000000000001</v>
      </c>
      <c r="R195" s="236">
        <f t="shared" si="107"/>
        <v>0.25</v>
      </c>
      <c r="S195" s="222"/>
    </row>
    <row r="196" spans="1:19" x14ac:dyDescent="0.25">
      <c r="A196" s="221" t="s">
        <v>79</v>
      </c>
      <c r="B196" s="215">
        <f>L196*B194</f>
        <v>269.46000000000004</v>
      </c>
      <c r="C196" s="215">
        <f t="shared" ref="C196" si="108">M196*C194</f>
        <v>206.30356518354517</v>
      </c>
      <c r="D196" s="215">
        <f t="shared" ref="D196" si="109">N196*D194</f>
        <v>140.4962575825146</v>
      </c>
      <c r="E196" s="215">
        <f t="shared" ref="E196" si="110">O196*E194</f>
        <v>93.10784727266504</v>
      </c>
      <c r="F196" s="215">
        <f t="shared" ref="F196" si="111">P196*F194</f>
        <v>45.719436962815486</v>
      </c>
      <c r="G196" s="215">
        <f t="shared" ref="G196" si="112">Q196*G194</f>
        <v>45.778073174738559</v>
      </c>
      <c r="H196" s="215">
        <f t="shared" ref="H196" si="113">R196*H194</f>
        <v>45.103171762776917</v>
      </c>
      <c r="K196" s="221" t="s">
        <v>79</v>
      </c>
      <c r="L196" s="232">
        <f t="shared" ref="L196:R196" si="114">L182</f>
        <v>0.54</v>
      </c>
      <c r="M196" s="232">
        <f t="shared" si="114"/>
        <v>0.54</v>
      </c>
      <c r="N196" s="236">
        <f t="shared" si="114"/>
        <v>0.53</v>
      </c>
      <c r="O196" s="236">
        <f t="shared" si="114"/>
        <v>0.53</v>
      </c>
      <c r="P196" s="236">
        <f t="shared" si="114"/>
        <v>0.53</v>
      </c>
      <c r="Q196" s="236">
        <f t="shared" si="114"/>
        <v>0.58000000000000007</v>
      </c>
      <c r="R196" s="236">
        <f t="shared" si="114"/>
        <v>0.63</v>
      </c>
      <c r="S196" s="222"/>
    </row>
    <row r="197" spans="1:19" x14ac:dyDescent="0.25">
      <c r="A197" s="221" t="s">
        <v>80</v>
      </c>
      <c r="B197" s="215">
        <f>L197*B194</f>
        <v>11.477</v>
      </c>
      <c r="C197" s="215">
        <f t="shared" ref="C197" si="115">M197*C194</f>
        <v>8.7870037022621084</v>
      </c>
      <c r="D197" s="215">
        <f t="shared" ref="D197" si="116">N197*D194</f>
        <v>7.9526183537272415</v>
      </c>
      <c r="E197" s="215">
        <f t="shared" ref="E197" si="117">O197*E194</f>
        <v>8.7837591766665124</v>
      </c>
      <c r="F197" s="215">
        <f t="shared" ref="F197" si="118">P197*F194</f>
        <v>6.0384162026360073</v>
      </c>
      <c r="G197" s="215">
        <f t="shared" ref="G197" si="119">Q197*G194</f>
        <v>7.4981326751726938</v>
      </c>
      <c r="H197" s="215">
        <f t="shared" ref="H197" si="120">R197*H194</f>
        <v>8.5910803357670318</v>
      </c>
      <c r="K197" s="221" t="s">
        <v>80</v>
      </c>
      <c r="L197" s="232">
        <f t="shared" ref="L197:R197" si="121">L183</f>
        <v>2.3E-2</v>
      </c>
      <c r="M197" s="232">
        <f t="shared" si="121"/>
        <v>2.3E-2</v>
      </c>
      <c r="N197" s="236">
        <f t="shared" si="121"/>
        <v>0.03</v>
      </c>
      <c r="O197" s="236">
        <f t="shared" si="121"/>
        <v>0.05</v>
      </c>
      <c r="P197" s="236">
        <f t="shared" si="121"/>
        <v>7.0000000000000007E-2</v>
      </c>
      <c r="Q197" s="236">
        <f t="shared" si="121"/>
        <v>9.5000000000000001E-2</v>
      </c>
      <c r="R197" s="236">
        <f t="shared" si="121"/>
        <v>0.12</v>
      </c>
      <c r="S197" s="222"/>
    </row>
    <row r="198" spans="1:19" x14ac:dyDescent="0.25">
      <c r="A198" s="219" t="s">
        <v>41</v>
      </c>
      <c r="B198" s="71">
        <f>B169</f>
        <v>499</v>
      </c>
      <c r="C198" s="71">
        <f>C169</f>
        <v>377.37591869984442</v>
      </c>
      <c r="D198" s="71">
        <f>D169</f>
        <v>255.75183739968878</v>
      </c>
      <c r="E198" s="71">
        <f>E169</f>
        <v>157.7467294717367</v>
      </c>
      <c r="F198" s="71">
        <f>G169</f>
        <v>59.741621543784618</v>
      </c>
      <c r="G198" s="71">
        <f t="shared" si="89"/>
        <v>45.445733495196706</v>
      </c>
      <c r="H198" s="225">
        <f>I169</f>
        <v>31.149845446608797</v>
      </c>
      <c r="L198" s="232"/>
      <c r="M198" s="232"/>
      <c r="N198" s="236"/>
      <c r="O198" s="236"/>
      <c r="P198" s="236"/>
      <c r="Q198" s="236"/>
      <c r="R198" s="236"/>
      <c r="S198" s="222"/>
    </row>
    <row r="199" spans="1:19" x14ac:dyDescent="0.25">
      <c r="A199" s="221" t="s">
        <v>91</v>
      </c>
      <c r="B199" s="215">
        <f>L199*B198</f>
        <v>218.06299999999999</v>
      </c>
      <c r="C199" s="215">
        <f t="shared" ref="C199" si="122">M199*C198</f>
        <v>164.91327647183201</v>
      </c>
      <c r="D199" s="215">
        <f t="shared" ref="D199" si="123">N199*D198</f>
        <v>112.53080845586307</v>
      </c>
      <c r="E199" s="215">
        <f t="shared" ref="E199" si="124">O199*E198</f>
        <v>58.366289904542576</v>
      </c>
      <c r="F199" s="215">
        <f t="shared" ref="F199" si="125">P199*F198</f>
        <v>17.922486463135385</v>
      </c>
      <c r="G199" s="215">
        <f t="shared" ref="G199" si="126">Q199*G198</f>
        <v>10.225290036419258</v>
      </c>
      <c r="H199" s="215">
        <f t="shared" ref="H199" si="127">R199*H198</f>
        <v>4.6724768169913196</v>
      </c>
      <c r="K199" s="221" t="s">
        <v>98</v>
      </c>
      <c r="L199" s="232">
        <f t="shared" ref="L199:R199" si="128">L185</f>
        <v>0.437</v>
      </c>
      <c r="M199" s="232">
        <f t="shared" si="128"/>
        <v>0.437</v>
      </c>
      <c r="N199" s="236">
        <f t="shared" si="128"/>
        <v>0.44</v>
      </c>
      <c r="O199" s="236">
        <f t="shared" si="128"/>
        <v>0.37</v>
      </c>
      <c r="P199" s="236">
        <f t="shared" si="128"/>
        <v>0.3</v>
      </c>
      <c r="Q199" s="236">
        <f t="shared" si="128"/>
        <v>0.22499999999999998</v>
      </c>
      <c r="R199" s="236">
        <f t="shared" si="128"/>
        <v>0.15</v>
      </c>
      <c r="S199" s="222"/>
    </row>
    <row r="200" spans="1:19" x14ac:dyDescent="0.25">
      <c r="A200" s="221" t="s">
        <v>79</v>
      </c>
      <c r="B200" s="215">
        <f>L200*B198</f>
        <v>269.46000000000004</v>
      </c>
      <c r="C200" s="215">
        <f t="shared" ref="C200" si="129">M200*C198</f>
        <v>203.782996097916</v>
      </c>
      <c r="D200" s="215">
        <f t="shared" ref="D200" si="130">N200*D198</f>
        <v>135.54847382183507</v>
      </c>
      <c r="E200" s="215">
        <f t="shared" ref="E200" si="131">O200*E198</f>
        <v>89.126902151531226</v>
      </c>
      <c r="F200" s="215">
        <f t="shared" ref="F200" si="132">P200*F198</f>
        <v>35.844972926270771</v>
      </c>
      <c r="G200" s="215">
        <f t="shared" ref="G200" si="133">Q200*G198</f>
        <v>29.539726771877856</v>
      </c>
      <c r="H200" s="215">
        <f t="shared" ref="H200" si="134">R200*H198</f>
        <v>21.804891812626156</v>
      </c>
      <c r="K200" s="221" t="s">
        <v>79</v>
      </c>
      <c r="L200" s="232">
        <f t="shared" ref="L200:R200" si="135">L186</f>
        <v>0.54</v>
      </c>
      <c r="M200" s="232">
        <f t="shared" si="135"/>
        <v>0.54</v>
      </c>
      <c r="N200" s="236">
        <f t="shared" si="135"/>
        <v>0.53</v>
      </c>
      <c r="O200" s="236">
        <f t="shared" si="135"/>
        <v>0.56499999999999995</v>
      </c>
      <c r="P200" s="236">
        <f t="shared" si="135"/>
        <v>0.6</v>
      </c>
      <c r="Q200" s="236">
        <f t="shared" si="135"/>
        <v>0.64999999999999991</v>
      </c>
      <c r="R200" s="236">
        <f t="shared" si="135"/>
        <v>0.7</v>
      </c>
      <c r="S200" s="222"/>
    </row>
    <row r="201" spans="1:19" x14ac:dyDescent="0.25">
      <c r="A201" s="221" t="s">
        <v>80</v>
      </c>
      <c r="B201" s="215">
        <f>L201*B198</f>
        <v>11.477</v>
      </c>
      <c r="C201" s="215">
        <f t="shared" ref="C201" si="136">M201*C198</f>
        <v>8.6796461300964207</v>
      </c>
      <c r="D201" s="215">
        <f t="shared" ref="D201" si="137">N201*D198</f>
        <v>7.6725551219906629</v>
      </c>
      <c r="E201" s="215">
        <f t="shared" ref="E201" si="138">O201*E198</f>
        <v>10.253537415662885</v>
      </c>
      <c r="F201" s="215">
        <f t="shared" ref="F201" si="139">P201*F198</f>
        <v>5.9741621543784618</v>
      </c>
      <c r="G201" s="215">
        <f t="shared" ref="G201" si="140">Q201*G198</f>
        <v>5.6807166868995882</v>
      </c>
      <c r="H201" s="215">
        <f t="shared" ref="H201" si="141">R201*H198</f>
        <v>4.6724768169913196</v>
      </c>
      <c r="K201" s="221" t="s">
        <v>80</v>
      </c>
      <c r="L201" s="232">
        <f t="shared" ref="L201:R201" si="142">L187</f>
        <v>2.3E-2</v>
      </c>
      <c r="M201" s="232">
        <f t="shared" si="142"/>
        <v>2.3E-2</v>
      </c>
      <c r="N201" s="236">
        <f t="shared" si="142"/>
        <v>0.03</v>
      </c>
      <c r="O201" s="236">
        <f t="shared" si="142"/>
        <v>6.5000000000000002E-2</v>
      </c>
      <c r="P201" s="236">
        <f t="shared" si="142"/>
        <v>0.1</v>
      </c>
      <c r="Q201" s="236">
        <f t="shared" si="142"/>
        <v>0.125</v>
      </c>
      <c r="R201" s="236">
        <f t="shared" si="142"/>
        <v>0.15</v>
      </c>
      <c r="S201" s="222"/>
    </row>
    <row r="202" spans="1:19" x14ac:dyDescent="0.25">
      <c r="A202" s="69"/>
      <c r="B202" s="67"/>
      <c r="C202" s="67"/>
      <c r="D202" s="67"/>
      <c r="E202" s="67"/>
      <c r="F202" s="67"/>
      <c r="G202" s="67"/>
      <c r="H202" s="222"/>
      <c r="L202" s="69"/>
      <c r="M202" s="67"/>
      <c r="N202" s="68"/>
      <c r="O202" s="68"/>
      <c r="P202" s="68"/>
      <c r="Q202" s="68"/>
      <c r="R202" s="235"/>
      <c r="S202" s="222"/>
    </row>
    <row r="203" spans="1:19" s="213" customFormat="1" x14ac:dyDescent="0.25">
      <c r="A203" s="223" t="s">
        <v>83</v>
      </c>
      <c r="B203" s="214">
        <v>2011</v>
      </c>
      <c r="C203" s="214">
        <v>2015</v>
      </c>
      <c r="D203" s="214">
        <v>2020</v>
      </c>
      <c r="E203" s="214">
        <v>2025</v>
      </c>
      <c r="F203" s="214">
        <v>2030</v>
      </c>
      <c r="G203" s="214">
        <v>2040</v>
      </c>
      <c r="H203" s="224">
        <v>2050</v>
      </c>
      <c r="L203" s="223">
        <v>2011</v>
      </c>
      <c r="M203" s="214">
        <v>2015</v>
      </c>
      <c r="N203" s="214">
        <v>2020</v>
      </c>
      <c r="O203" s="214">
        <v>2025</v>
      </c>
      <c r="P203" s="214">
        <v>2030</v>
      </c>
      <c r="Q203" s="214">
        <v>2040</v>
      </c>
      <c r="R203" s="224">
        <v>2050</v>
      </c>
      <c r="S203" s="224"/>
    </row>
    <row r="204" spans="1:19" x14ac:dyDescent="0.25">
      <c r="A204" s="219" t="s">
        <v>42</v>
      </c>
      <c r="B204" s="67">
        <f>L41</f>
        <v>76</v>
      </c>
      <c r="C204" s="71">
        <f>AVERAGE(B204,D204)</f>
        <v>45.474292147806842</v>
      </c>
      <c r="D204" s="71">
        <f>D156</f>
        <v>14.948584295613685</v>
      </c>
      <c r="E204" s="71">
        <f t="shared" ref="E204" si="143">E156</f>
        <v>15.650091683094727</v>
      </c>
      <c r="F204" s="71">
        <f>G156</f>
        <v>16.351599070575769</v>
      </c>
      <c r="G204" s="71">
        <f>H156</f>
        <v>14.608699086659978</v>
      </c>
      <c r="H204" s="225">
        <f>I156</f>
        <v>12.865799102744189</v>
      </c>
      <c r="L204" s="69"/>
      <c r="M204" s="67"/>
      <c r="N204" s="68"/>
      <c r="O204" s="68"/>
      <c r="P204" s="68"/>
      <c r="Q204" s="68"/>
      <c r="R204" s="235"/>
      <c r="S204" s="222"/>
    </row>
    <row r="205" spans="1:19" x14ac:dyDescent="0.25">
      <c r="A205" s="221" t="s">
        <v>91</v>
      </c>
      <c r="B205" s="215">
        <f>L205*B204</f>
        <v>33.212000000000003</v>
      </c>
      <c r="C205" s="215">
        <f t="shared" ref="C205" si="144">M205*C204</f>
        <v>19.872265668591591</v>
      </c>
      <c r="D205" s="215">
        <f t="shared" ref="D205" si="145">N205*D204</f>
        <v>6.577377090070021</v>
      </c>
      <c r="E205" s="215">
        <f t="shared" ref="E205" si="146">O205*E204</f>
        <v>7.0425412573926272</v>
      </c>
      <c r="F205" s="215">
        <f t="shared" ref="F205" si="147">P205*F204</f>
        <v>7.5217355724648547</v>
      </c>
      <c r="G205" s="215">
        <f t="shared" ref="G205" si="148">Q205*G204</f>
        <v>5.9165231300972918</v>
      </c>
      <c r="H205" s="215">
        <f t="shared" ref="H205" si="149">R205*H204</f>
        <v>4.5030296859604659</v>
      </c>
      <c r="K205" s="221" t="s">
        <v>98</v>
      </c>
      <c r="L205" s="232">
        <f>L177</f>
        <v>0.437</v>
      </c>
      <c r="M205" s="232">
        <f t="shared" ref="M205:R205" si="150">M177</f>
        <v>0.437</v>
      </c>
      <c r="N205" s="236">
        <f t="shared" si="150"/>
        <v>0.44</v>
      </c>
      <c r="O205" s="236">
        <f t="shared" si="150"/>
        <v>0.45</v>
      </c>
      <c r="P205" s="236">
        <f t="shared" si="150"/>
        <v>0.46</v>
      </c>
      <c r="Q205" s="236">
        <f t="shared" si="150"/>
        <v>0.40500000000000003</v>
      </c>
      <c r="R205" s="236">
        <f t="shared" si="150"/>
        <v>0.35</v>
      </c>
      <c r="S205" s="222"/>
    </row>
    <row r="206" spans="1:19" x14ac:dyDescent="0.25">
      <c r="A206" s="221" t="s">
        <v>79</v>
      </c>
      <c r="B206" s="215">
        <f>L206*B204</f>
        <v>41.040000000000006</v>
      </c>
      <c r="C206" s="215">
        <f t="shared" ref="C206" si="151">M206*C204</f>
        <v>24.556117759815695</v>
      </c>
      <c r="D206" s="215">
        <f t="shared" ref="D206" si="152">N206*D204</f>
        <v>7.9227496766752532</v>
      </c>
      <c r="E206" s="215">
        <f t="shared" ref="E206" si="153">O206*E204</f>
        <v>8.0597972167937844</v>
      </c>
      <c r="F206" s="215">
        <f t="shared" ref="F206" si="154">P206*F204</f>
        <v>8.1757995352878847</v>
      </c>
      <c r="G206" s="215">
        <f t="shared" ref="G206" si="155">Q206*G204</f>
        <v>7.6695670204964888</v>
      </c>
      <c r="H206" s="215">
        <f t="shared" ref="H206" si="156">R206*H204</f>
        <v>7.076189506509305</v>
      </c>
      <c r="K206" s="221" t="s">
        <v>79</v>
      </c>
      <c r="L206" s="232">
        <f t="shared" ref="L206:R206" si="157">L178</f>
        <v>0.54</v>
      </c>
      <c r="M206" s="232">
        <f t="shared" si="157"/>
        <v>0.54</v>
      </c>
      <c r="N206" s="236">
        <f t="shared" si="157"/>
        <v>0.53</v>
      </c>
      <c r="O206" s="236">
        <f t="shared" si="157"/>
        <v>0.51500000000000001</v>
      </c>
      <c r="P206" s="236">
        <f t="shared" si="157"/>
        <v>0.5</v>
      </c>
      <c r="Q206" s="236">
        <f t="shared" si="157"/>
        <v>0.52500000000000002</v>
      </c>
      <c r="R206" s="236">
        <f t="shared" si="157"/>
        <v>0.55000000000000004</v>
      </c>
      <c r="S206" s="222"/>
    </row>
    <row r="207" spans="1:19" x14ac:dyDescent="0.25">
      <c r="A207" s="221" t="s">
        <v>80</v>
      </c>
      <c r="B207" s="215">
        <f>L207*B204</f>
        <v>1.748</v>
      </c>
      <c r="C207" s="215">
        <f t="shared" ref="C207" si="158">M207*C204</f>
        <v>1.0459087193995573</v>
      </c>
      <c r="D207" s="215">
        <f t="shared" ref="D207" si="159">N207*D204</f>
        <v>0.44845752886841056</v>
      </c>
      <c r="E207" s="215">
        <f t="shared" ref="E207" si="160">O207*E204</f>
        <v>0.62600366732378909</v>
      </c>
      <c r="F207" s="215">
        <f t="shared" ref="F207" si="161">P207*F204</f>
        <v>0.81757995352878854</v>
      </c>
      <c r="G207" s="215">
        <f t="shared" ref="G207" si="162">Q207*G204</f>
        <v>1.0956524314994986</v>
      </c>
      <c r="H207" s="215">
        <f t="shared" ref="H207" si="163">R207*H204</f>
        <v>1.2865799102744191</v>
      </c>
      <c r="K207" s="221" t="s">
        <v>80</v>
      </c>
      <c r="L207" s="232">
        <f t="shared" ref="L207:R207" si="164">L179</f>
        <v>2.3E-2</v>
      </c>
      <c r="M207" s="232">
        <f t="shared" si="164"/>
        <v>2.3E-2</v>
      </c>
      <c r="N207" s="236">
        <f t="shared" si="164"/>
        <v>0.03</v>
      </c>
      <c r="O207" s="236">
        <f t="shared" si="164"/>
        <v>0.04</v>
      </c>
      <c r="P207" s="236">
        <f t="shared" si="164"/>
        <v>0.05</v>
      </c>
      <c r="Q207" s="236">
        <f t="shared" si="164"/>
        <v>7.5000000000000011E-2</v>
      </c>
      <c r="R207" s="236">
        <f t="shared" si="164"/>
        <v>0.1</v>
      </c>
      <c r="S207" s="222"/>
    </row>
    <row r="208" spans="1:19" x14ac:dyDescent="0.25">
      <c r="A208" s="219" t="s">
        <v>24</v>
      </c>
      <c r="B208" s="67">
        <f>L41</f>
        <v>76</v>
      </c>
      <c r="C208" s="71">
        <f t="shared" ref="C208:C212" si="165">AVERAGE(B208,D208)</f>
        <v>44.497415174912135</v>
      </c>
      <c r="D208" s="71">
        <f>D163</f>
        <v>12.994830349824268</v>
      </c>
      <c r="E208" s="71">
        <f t="shared" ref="E208" si="166">E163</f>
        <v>13.235914334151762</v>
      </c>
      <c r="F208" s="71">
        <f>G163</f>
        <v>13.476998318479257</v>
      </c>
      <c r="G208" s="71">
        <f>H163</f>
        <v>11.47840819296794</v>
      </c>
      <c r="H208" s="225">
        <f>I163</f>
        <v>9.4798180674566215</v>
      </c>
      <c r="L208" s="232"/>
      <c r="M208" s="232"/>
      <c r="N208" s="236"/>
      <c r="O208" s="236"/>
      <c r="P208" s="236"/>
      <c r="Q208" s="236"/>
      <c r="R208" s="236"/>
      <c r="S208" s="222"/>
    </row>
    <row r="209" spans="1:19" x14ac:dyDescent="0.25">
      <c r="A209" s="221" t="s">
        <v>91</v>
      </c>
      <c r="B209" s="215">
        <f>L209*B208</f>
        <v>33.212000000000003</v>
      </c>
      <c r="C209" s="215">
        <f t="shared" ref="C209" si="167">M209*C208</f>
        <v>19.445370431436604</v>
      </c>
      <c r="D209" s="215">
        <f t="shared" ref="D209" si="168">N209*D208</f>
        <v>5.7177253539226776</v>
      </c>
      <c r="E209" s="215">
        <f t="shared" ref="E209" si="169">O209*E208</f>
        <v>5.5590840203437404</v>
      </c>
      <c r="F209" s="215">
        <f t="shared" ref="F209" si="170">P209*F208</f>
        <v>5.3907993273917034</v>
      </c>
      <c r="G209" s="215">
        <f t="shared" ref="G209" si="171">Q209*G208</f>
        <v>3.7304826627145808</v>
      </c>
      <c r="H209" s="215">
        <f t="shared" ref="H209" si="172">R209*H208</f>
        <v>2.3699545168641554</v>
      </c>
      <c r="K209" s="221" t="s">
        <v>98</v>
      </c>
      <c r="L209" s="232">
        <f t="shared" ref="L209:R209" si="173">L181</f>
        <v>0.437</v>
      </c>
      <c r="M209" s="232">
        <f t="shared" si="173"/>
        <v>0.437</v>
      </c>
      <c r="N209" s="236">
        <f t="shared" si="173"/>
        <v>0.44</v>
      </c>
      <c r="O209" s="236">
        <f t="shared" si="173"/>
        <v>0.42000000000000004</v>
      </c>
      <c r="P209" s="236">
        <f t="shared" si="173"/>
        <v>0.4</v>
      </c>
      <c r="Q209" s="236">
        <f t="shared" si="173"/>
        <v>0.32500000000000001</v>
      </c>
      <c r="R209" s="236">
        <f t="shared" si="173"/>
        <v>0.25</v>
      </c>
      <c r="S209" s="222"/>
    </row>
    <row r="210" spans="1:19" x14ac:dyDescent="0.25">
      <c r="A210" s="221" t="s">
        <v>79</v>
      </c>
      <c r="B210" s="215">
        <f>L210*B208</f>
        <v>41.040000000000006</v>
      </c>
      <c r="C210" s="215">
        <f t="shared" ref="C210" si="174">M210*C208</f>
        <v>24.028604194452555</v>
      </c>
      <c r="D210" s="215">
        <f t="shared" ref="D210" si="175">N210*D208</f>
        <v>6.8872600854068624</v>
      </c>
      <c r="E210" s="215">
        <f t="shared" ref="E210" si="176">O210*E208</f>
        <v>7.015034597100434</v>
      </c>
      <c r="F210" s="215">
        <f t="shared" ref="F210" si="177">P210*F208</f>
        <v>7.1428091087940064</v>
      </c>
      <c r="G210" s="215">
        <f t="shared" ref="G210" si="178">Q210*G208</f>
        <v>6.657476751921406</v>
      </c>
      <c r="H210" s="215">
        <f t="shared" ref="H210" si="179">R210*H208</f>
        <v>5.9722853824976712</v>
      </c>
      <c r="K210" s="221" t="s">
        <v>79</v>
      </c>
      <c r="L210" s="232">
        <f t="shared" ref="L210:R210" si="180">L182</f>
        <v>0.54</v>
      </c>
      <c r="M210" s="232">
        <f t="shared" si="180"/>
        <v>0.54</v>
      </c>
      <c r="N210" s="236">
        <f t="shared" si="180"/>
        <v>0.53</v>
      </c>
      <c r="O210" s="236">
        <f t="shared" si="180"/>
        <v>0.53</v>
      </c>
      <c r="P210" s="236">
        <f t="shared" si="180"/>
        <v>0.53</v>
      </c>
      <c r="Q210" s="236">
        <f t="shared" si="180"/>
        <v>0.58000000000000007</v>
      </c>
      <c r="R210" s="236">
        <f t="shared" si="180"/>
        <v>0.63</v>
      </c>
      <c r="S210" s="222"/>
    </row>
    <row r="211" spans="1:19" x14ac:dyDescent="0.25">
      <c r="A211" s="221" t="s">
        <v>80</v>
      </c>
      <c r="B211" s="215">
        <f>L211*B208</f>
        <v>1.748</v>
      </c>
      <c r="C211" s="215">
        <f t="shared" ref="C211" si="181">M211*C208</f>
        <v>1.023440549022979</v>
      </c>
      <c r="D211" s="215">
        <f t="shared" ref="D211" si="182">N211*D208</f>
        <v>0.38984491049472803</v>
      </c>
      <c r="E211" s="215">
        <f t="shared" ref="E211" si="183">O211*E208</f>
        <v>0.66179571670758808</v>
      </c>
      <c r="F211" s="215">
        <f t="shared" ref="F211" si="184">P211*F208</f>
        <v>0.94338988229354814</v>
      </c>
      <c r="G211" s="215">
        <f t="shared" ref="G211" si="185">Q211*G208</f>
        <v>1.0904487783319543</v>
      </c>
      <c r="H211" s="215">
        <f t="shared" ref="H211" si="186">R211*H208</f>
        <v>1.1375781680947945</v>
      </c>
      <c r="K211" s="221" t="s">
        <v>80</v>
      </c>
      <c r="L211" s="232">
        <f t="shared" ref="L211:R211" si="187">L183</f>
        <v>2.3E-2</v>
      </c>
      <c r="M211" s="232">
        <f t="shared" si="187"/>
        <v>2.3E-2</v>
      </c>
      <c r="N211" s="236">
        <f t="shared" si="187"/>
        <v>0.03</v>
      </c>
      <c r="O211" s="236">
        <f t="shared" si="187"/>
        <v>0.05</v>
      </c>
      <c r="P211" s="236">
        <f t="shared" si="187"/>
        <v>7.0000000000000007E-2</v>
      </c>
      <c r="Q211" s="236">
        <f t="shared" si="187"/>
        <v>9.5000000000000001E-2</v>
      </c>
      <c r="R211" s="236">
        <f t="shared" si="187"/>
        <v>0.12</v>
      </c>
      <c r="S211" s="222"/>
    </row>
    <row r="212" spans="1:19" x14ac:dyDescent="0.25">
      <c r="A212" s="219" t="s">
        <v>41</v>
      </c>
      <c r="B212" s="67">
        <f>L41</f>
        <v>76</v>
      </c>
      <c r="C212" s="71">
        <f t="shared" si="165"/>
        <v>44.196060346830421</v>
      </c>
      <c r="D212" s="71">
        <f>D170</f>
        <v>12.392120693660845</v>
      </c>
      <c r="E212" s="71">
        <f t="shared" ref="E212" si="188">E170</f>
        <v>11.2389595678454</v>
      </c>
      <c r="F212" s="71">
        <f>G170</f>
        <v>10.085798442029956</v>
      </c>
      <c r="G212" s="71">
        <f>H170</f>
        <v>8.095476745103765</v>
      </c>
      <c r="H212" s="225">
        <f>I170</f>
        <v>6.1051550481775747</v>
      </c>
      <c r="L212" s="232"/>
      <c r="M212" s="232"/>
      <c r="N212" s="236"/>
      <c r="O212" s="236"/>
      <c r="P212" s="236"/>
      <c r="Q212" s="236"/>
      <c r="R212" s="236"/>
      <c r="S212" s="222"/>
    </row>
    <row r="213" spans="1:19" x14ac:dyDescent="0.25">
      <c r="A213" s="221" t="s">
        <v>91</v>
      </c>
      <c r="B213" s="215">
        <f>L213*B212</f>
        <v>33.212000000000003</v>
      </c>
      <c r="C213" s="215">
        <f t="shared" ref="C213" si="189">M213*C212</f>
        <v>19.313678371564894</v>
      </c>
      <c r="D213" s="215">
        <f t="shared" ref="D213" si="190">N213*D212</f>
        <v>5.4525331052107715</v>
      </c>
      <c r="E213" s="215">
        <f t="shared" ref="E213" si="191">O213*E212</f>
        <v>4.1584150401027982</v>
      </c>
      <c r="F213" s="215">
        <f t="shared" ref="F213" si="192">P213*F212</f>
        <v>3.0257395326089869</v>
      </c>
      <c r="G213" s="215">
        <f t="shared" ref="G213" si="193">Q213*G212</f>
        <v>1.8214822676483469</v>
      </c>
      <c r="H213" s="215">
        <f t="shared" ref="H213" si="194">R213*H212</f>
        <v>0.91577325722663616</v>
      </c>
      <c r="K213" s="221" t="s">
        <v>98</v>
      </c>
      <c r="L213" s="232">
        <f t="shared" ref="L213:R213" si="195">L185</f>
        <v>0.437</v>
      </c>
      <c r="M213" s="232">
        <f t="shared" si="195"/>
        <v>0.437</v>
      </c>
      <c r="N213" s="236">
        <f t="shared" si="195"/>
        <v>0.44</v>
      </c>
      <c r="O213" s="236">
        <f t="shared" si="195"/>
        <v>0.37</v>
      </c>
      <c r="P213" s="236">
        <f t="shared" si="195"/>
        <v>0.3</v>
      </c>
      <c r="Q213" s="236">
        <f t="shared" si="195"/>
        <v>0.22499999999999998</v>
      </c>
      <c r="R213" s="236">
        <f t="shared" si="195"/>
        <v>0.15</v>
      </c>
      <c r="S213" s="222"/>
    </row>
    <row r="214" spans="1:19" x14ac:dyDescent="0.25">
      <c r="A214" s="221" t="s">
        <v>79</v>
      </c>
      <c r="B214" s="215">
        <f>L214*B212</f>
        <v>41.040000000000006</v>
      </c>
      <c r="C214" s="215">
        <f t="shared" ref="C214" si="196">M214*C212</f>
        <v>23.865872587288429</v>
      </c>
      <c r="D214" s="215">
        <f t="shared" ref="D214" si="197">N214*D212</f>
        <v>6.5678239676402477</v>
      </c>
      <c r="E214" s="215">
        <f t="shared" ref="E214" si="198">O214*E212</f>
        <v>6.3500121558326503</v>
      </c>
      <c r="F214" s="215">
        <f t="shared" ref="F214" si="199">P214*F212</f>
        <v>6.0514790652179737</v>
      </c>
      <c r="G214" s="215">
        <f t="shared" ref="G214" si="200">Q214*G212</f>
        <v>5.2620598843174466</v>
      </c>
      <c r="H214" s="215">
        <f t="shared" ref="H214" si="201">R214*H212</f>
        <v>4.2736085337243024</v>
      </c>
      <c r="K214" s="221" t="s">
        <v>79</v>
      </c>
      <c r="L214" s="232">
        <f t="shared" ref="L214:R214" si="202">L186</f>
        <v>0.54</v>
      </c>
      <c r="M214" s="232">
        <f t="shared" si="202"/>
        <v>0.54</v>
      </c>
      <c r="N214" s="236">
        <f t="shared" si="202"/>
        <v>0.53</v>
      </c>
      <c r="O214" s="236">
        <f t="shared" si="202"/>
        <v>0.56499999999999995</v>
      </c>
      <c r="P214" s="236">
        <f t="shared" si="202"/>
        <v>0.6</v>
      </c>
      <c r="Q214" s="236">
        <f t="shared" si="202"/>
        <v>0.64999999999999991</v>
      </c>
      <c r="R214" s="236">
        <f t="shared" si="202"/>
        <v>0.7</v>
      </c>
      <c r="S214" s="222"/>
    </row>
    <row r="215" spans="1:19" x14ac:dyDescent="0.25">
      <c r="A215" s="221" t="s">
        <v>80</v>
      </c>
      <c r="B215" s="215">
        <f>L215*B212</f>
        <v>1.748</v>
      </c>
      <c r="C215" s="215">
        <f t="shared" ref="C215" si="203">M215*C212</f>
        <v>1.0165093879770997</v>
      </c>
      <c r="D215" s="215">
        <f t="shared" ref="D215" si="204">N215*D212</f>
        <v>0.37176362080982533</v>
      </c>
      <c r="E215" s="215">
        <f t="shared" ref="E215" si="205">O215*E212</f>
        <v>0.73053237190995102</v>
      </c>
      <c r="F215" s="215">
        <f t="shared" ref="F215" si="206">P215*F212</f>
        <v>1.0085798442029956</v>
      </c>
      <c r="G215" s="215">
        <f t="shared" ref="G215" si="207">Q215*G212</f>
        <v>1.0119345931379706</v>
      </c>
      <c r="H215" s="215">
        <f t="shared" ref="H215" si="208">R215*H212</f>
        <v>0.91577325722663616</v>
      </c>
      <c r="K215" s="221" t="s">
        <v>80</v>
      </c>
      <c r="L215" s="232">
        <f t="shared" ref="L215:R215" si="209">L187</f>
        <v>2.3E-2</v>
      </c>
      <c r="M215" s="232">
        <f t="shared" si="209"/>
        <v>2.3E-2</v>
      </c>
      <c r="N215" s="236">
        <f t="shared" si="209"/>
        <v>0.03</v>
      </c>
      <c r="O215" s="236">
        <f t="shared" si="209"/>
        <v>6.5000000000000002E-2</v>
      </c>
      <c r="P215" s="236">
        <f t="shared" si="209"/>
        <v>0.1</v>
      </c>
      <c r="Q215" s="236">
        <f t="shared" si="209"/>
        <v>0.125</v>
      </c>
      <c r="R215" s="236">
        <f t="shared" si="209"/>
        <v>0.15</v>
      </c>
      <c r="S215" s="222"/>
    </row>
    <row r="216" spans="1:19" x14ac:dyDescent="0.25">
      <c r="A216" s="69"/>
      <c r="B216" s="67"/>
      <c r="C216" s="67"/>
      <c r="D216" s="67"/>
      <c r="E216" s="67"/>
      <c r="F216" s="67"/>
      <c r="G216" s="67"/>
      <c r="H216" s="222"/>
      <c r="L216" s="69"/>
      <c r="M216" s="67"/>
      <c r="N216" s="68"/>
      <c r="O216" s="68"/>
      <c r="P216" s="68"/>
      <c r="Q216" s="68"/>
      <c r="R216" s="235"/>
      <c r="S216" s="222"/>
    </row>
    <row r="217" spans="1:19" s="213" customFormat="1" x14ac:dyDescent="0.25">
      <c r="A217" s="223" t="s">
        <v>85</v>
      </c>
      <c r="B217" s="214">
        <v>2011</v>
      </c>
      <c r="C217" s="214">
        <v>2015</v>
      </c>
      <c r="D217" s="214">
        <v>2020</v>
      </c>
      <c r="E217" s="214">
        <v>2025</v>
      </c>
      <c r="F217" s="214">
        <v>2030</v>
      </c>
      <c r="G217" s="214">
        <v>2040</v>
      </c>
      <c r="H217" s="224">
        <v>2050</v>
      </c>
      <c r="L217" s="223">
        <v>2011</v>
      </c>
      <c r="M217" s="214">
        <v>2015</v>
      </c>
      <c r="N217" s="214">
        <v>2020</v>
      </c>
      <c r="O217" s="214">
        <v>2025</v>
      </c>
      <c r="P217" s="214">
        <v>2030</v>
      </c>
      <c r="Q217" s="214">
        <v>2040</v>
      </c>
      <c r="R217" s="224">
        <v>2050</v>
      </c>
      <c r="S217" s="224"/>
    </row>
    <row r="218" spans="1:19" x14ac:dyDescent="0.25">
      <c r="A218" s="219" t="s">
        <v>42</v>
      </c>
      <c r="B218" s="67">
        <f>L52</f>
        <v>2578</v>
      </c>
      <c r="C218" s="71">
        <f>C157</f>
        <v>2260.5762025608074</v>
      </c>
      <c r="D218" s="71">
        <f>D157</f>
        <v>1943.1524051216152</v>
      </c>
      <c r="E218" s="71">
        <f t="shared" ref="E218" si="210">E157</f>
        <v>1320.2372437411252</v>
      </c>
      <c r="F218" s="71">
        <f>G157</f>
        <v>697.32208236063514</v>
      </c>
      <c r="G218" s="71">
        <f>H157</f>
        <v>610.04996338180433</v>
      </c>
      <c r="H218" s="225">
        <f>I157</f>
        <v>522.77784440297353</v>
      </c>
      <c r="L218" s="69"/>
      <c r="M218" s="67"/>
      <c r="N218" s="68"/>
      <c r="O218" s="68"/>
      <c r="P218" s="68"/>
      <c r="Q218" s="68"/>
      <c r="R218" s="235"/>
      <c r="S218" s="222"/>
    </row>
    <row r="219" spans="1:19" x14ac:dyDescent="0.25">
      <c r="A219" s="221" t="s">
        <v>91</v>
      </c>
      <c r="B219" s="215">
        <f>L219*B218</f>
        <v>1126.586</v>
      </c>
      <c r="C219" s="215">
        <f t="shared" ref="C219" si="211">M219*C218</f>
        <v>987.87180051907285</v>
      </c>
      <c r="D219" s="215">
        <f t="shared" ref="D219" si="212">N219*D218</f>
        <v>854.98705825351067</v>
      </c>
      <c r="E219" s="215">
        <f t="shared" ref="E219" si="213">O219*E218</f>
        <v>594.10675968350631</v>
      </c>
      <c r="F219" s="215">
        <f t="shared" ref="F219" si="214">P219*F218</f>
        <v>320.76815788589215</v>
      </c>
      <c r="G219" s="215">
        <f t="shared" ref="G219" si="215">Q219*G218</f>
        <v>247.07023516963076</v>
      </c>
      <c r="H219" s="215">
        <f t="shared" ref="H219" si="216">R219*H218</f>
        <v>182.97224554104073</v>
      </c>
      <c r="K219" s="221" t="s">
        <v>98</v>
      </c>
      <c r="L219" s="232">
        <f>L177</f>
        <v>0.437</v>
      </c>
      <c r="M219" s="232">
        <f t="shared" ref="M219:R219" si="217">M177</f>
        <v>0.437</v>
      </c>
      <c r="N219" s="236">
        <f t="shared" si="217"/>
        <v>0.44</v>
      </c>
      <c r="O219" s="236">
        <f t="shared" si="217"/>
        <v>0.45</v>
      </c>
      <c r="P219" s="236">
        <f t="shared" si="217"/>
        <v>0.46</v>
      </c>
      <c r="Q219" s="236">
        <f t="shared" si="217"/>
        <v>0.40500000000000003</v>
      </c>
      <c r="R219" s="236">
        <f t="shared" si="217"/>
        <v>0.35</v>
      </c>
      <c r="S219" s="222"/>
    </row>
    <row r="220" spans="1:19" x14ac:dyDescent="0.25">
      <c r="A220" s="221" t="s">
        <v>79</v>
      </c>
      <c r="B220" s="215">
        <f>L220*B218</f>
        <v>1392.1200000000001</v>
      </c>
      <c r="C220" s="215">
        <f t="shared" ref="C220" si="218">M220*C218</f>
        <v>1220.7111493828361</v>
      </c>
      <c r="D220" s="215">
        <f t="shared" ref="D220" si="219">N220*D218</f>
        <v>1029.870774714456</v>
      </c>
      <c r="E220" s="215">
        <f t="shared" ref="E220" si="220">O220*E218</f>
        <v>679.92218052667954</v>
      </c>
      <c r="F220" s="215">
        <f t="shared" ref="F220" si="221">P220*F218</f>
        <v>348.66104118031757</v>
      </c>
      <c r="G220" s="215">
        <f t="shared" ref="G220" si="222">Q220*G218</f>
        <v>320.27623077544729</v>
      </c>
      <c r="H220" s="215">
        <f t="shared" ref="H220" si="223">R220*H218</f>
        <v>287.52781442163547</v>
      </c>
      <c r="K220" s="221" t="s">
        <v>79</v>
      </c>
      <c r="L220" s="232">
        <f t="shared" ref="L220:R220" si="224">L178</f>
        <v>0.54</v>
      </c>
      <c r="M220" s="232">
        <f t="shared" si="224"/>
        <v>0.54</v>
      </c>
      <c r="N220" s="236">
        <f t="shared" si="224"/>
        <v>0.53</v>
      </c>
      <c r="O220" s="236">
        <f t="shared" si="224"/>
        <v>0.51500000000000001</v>
      </c>
      <c r="P220" s="236">
        <f t="shared" si="224"/>
        <v>0.5</v>
      </c>
      <c r="Q220" s="236">
        <f t="shared" si="224"/>
        <v>0.52500000000000002</v>
      </c>
      <c r="R220" s="236">
        <f t="shared" si="224"/>
        <v>0.55000000000000004</v>
      </c>
      <c r="S220" s="222"/>
    </row>
    <row r="221" spans="1:19" x14ac:dyDescent="0.25">
      <c r="A221" s="221" t="s">
        <v>80</v>
      </c>
      <c r="B221" s="215">
        <f>L221*B218</f>
        <v>59.293999999999997</v>
      </c>
      <c r="C221" s="215">
        <f t="shared" ref="C221" si="225">M221*C218</f>
        <v>51.99325265889857</v>
      </c>
      <c r="D221" s="215">
        <f t="shared" ref="D221" si="226">N221*D218</f>
        <v>58.294572153648453</v>
      </c>
      <c r="E221" s="215">
        <f t="shared" ref="E221" si="227">O221*E218</f>
        <v>52.80948974964501</v>
      </c>
      <c r="F221" s="215">
        <f t="shared" ref="F221" si="228">P221*F218</f>
        <v>34.866104118031757</v>
      </c>
      <c r="G221" s="215">
        <f t="shared" ref="G221" si="229">Q221*G218</f>
        <v>45.753747253635332</v>
      </c>
      <c r="H221" s="215">
        <f t="shared" ref="H221" si="230">R221*H218</f>
        <v>52.277784440297353</v>
      </c>
      <c r="K221" s="221" t="s">
        <v>80</v>
      </c>
      <c r="L221" s="232">
        <f t="shared" ref="L221:R221" si="231">L179</f>
        <v>2.3E-2</v>
      </c>
      <c r="M221" s="232">
        <f t="shared" si="231"/>
        <v>2.3E-2</v>
      </c>
      <c r="N221" s="236">
        <f t="shared" si="231"/>
        <v>0.03</v>
      </c>
      <c r="O221" s="236">
        <f t="shared" si="231"/>
        <v>0.04</v>
      </c>
      <c r="P221" s="236">
        <f t="shared" si="231"/>
        <v>0.05</v>
      </c>
      <c r="Q221" s="236">
        <f t="shared" si="231"/>
        <v>7.5000000000000011E-2</v>
      </c>
      <c r="R221" s="236">
        <f t="shared" si="231"/>
        <v>0.1</v>
      </c>
      <c r="S221" s="222"/>
    </row>
    <row r="222" spans="1:19" x14ac:dyDescent="0.25">
      <c r="A222" s="219" t="s">
        <v>24</v>
      </c>
      <c r="B222" s="67">
        <f>L52</f>
        <v>2578</v>
      </c>
      <c r="C222" s="71">
        <f>C164</f>
        <v>2199.6672450299161</v>
      </c>
      <c r="D222" s="71">
        <f>D164</f>
        <v>1821.3344900598324</v>
      </c>
      <c r="E222" s="71">
        <f t="shared" ref="E222" si="232">E164</f>
        <v>1330.1232790296349</v>
      </c>
      <c r="F222" s="71">
        <f>G164</f>
        <v>838.91206799943711</v>
      </c>
      <c r="G222" s="71">
        <f>H164</f>
        <v>745.61874939236031</v>
      </c>
      <c r="H222" s="225">
        <f>I164</f>
        <v>652.32543078528352</v>
      </c>
      <c r="L222" s="232"/>
      <c r="M222" s="232"/>
      <c r="N222" s="236"/>
      <c r="O222" s="236"/>
      <c r="P222" s="236"/>
      <c r="Q222" s="236"/>
      <c r="R222" s="236"/>
      <c r="S222" s="222"/>
    </row>
    <row r="223" spans="1:19" x14ac:dyDescent="0.25">
      <c r="A223" s="221" t="s">
        <v>91</v>
      </c>
      <c r="B223" s="215">
        <f>L223*B222</f>
        <v>1126.586</v>
      </c>
      <c r="C223" s="215">
        <f t="shared" ref="C223" si="233">M223*C222</f>
        <v>961.25458607807332</v>
      </c>
      <c r="D223" s="215">
        <f t="shared" ref="D223" si="234">N223*D222</f>
        <v>801.38717562632633</v>
      </c>
      <c r="E223" s="215">
        <f t="shared" ref="E223" si="235">O223*E222</f>
        <v>558.65177719244673</v>
      </c>
      <c r="F223" s="215">
        <f t="shared" ref="F223" si="236">P223*F222</f>
        <v>335.56482719977487</v>
      </c>
      <c r="G223" s="215">
        <f t="shared" ref="G223" si="237">Q223*G222</f>
        <v>242.32609355251711</v>
      </c>
      <c r="H223" s="215">
        <f t="shared" ref="H223" si="238">R223*H222</f>
        <v>163.08135769632088</v>
      </c>
      <c r="K223" s="221" t="s">
        <v>98</v>
      </c>
      <c r="L223" s="232">
        <f t="shared" ref="L223:R223" si="239">L181</f>
        <v>0.437</v>
      </c>
      <c r="M223" s="232">
        <f t="shared" si="239"/>
        <v>0.437</v>
      </c>
      <c r="N223" s="236">
        <f t="shared" si="239"/>
        <v>0.44</v>
      </c>
      <c r="O223" s="236">
        <f t="shared" si="239"/>
        <v>0.42000000000000004</v>
      </c>
      <c r="P223" s="236">
        <f t="shared" si="239"/>
        <v>0.4</v>
      </c>
      <c r="Q223" s="236">
        <f t="shared" si="239"/>
        <v>0.32500000000000001</v>
      </c>
      <c r="R223" s="236">
        <f t="shared" si="239"/>
        <v>0.25</v>
      </c>
      <c r="S223" s="222"/>
    </row>
    <row r="224" spans="1:19" x14ac:dyDescent="0.25">
      <c r="A224" s="221" t="s">
        <v>79</v>
      </c>
      <c r="B224" s="215">
        <f>L224*B222</f>
        <v>1392.1200000000001</v>
      </c>
      <c r="C224" s="215">
        <f t="shared" ref="C224" si="240">M224*C222</f>
        <v>1187.8203123161547</v>
      </c>
      <c r="D224" s="215">
        <f t="shared" ref="D224" si="241">N224*D222</f>
        <v>965.30727973171122</v>
      </c>
      <c r="E224" s="215">
        <f t="shared" ref="E224" si="242">O224*E222</f>
        <v>704.9653378857065</v>
      </c>
      <c r="F224" s="215">
        <f t="shared" ref="F224" si="243">P224*F222</f>
        <v>444.62339603970167</v>
      </c>
      <c r="G224" s="215">
        <f t="shared" ref="G224" si="244">Q224*G222</f>
        <v>432.45887464756902</v>
      </c>
      <c r="H224" s="215">
        <f t="shared" ref="H224" si="245">R224*H222</f>
        <v>410.96502139472864</v>
      </c>
      <c r="K224" s="221" t="s">
        <v>79</v>
      </c>
      <c r="L224" s="232">
        <f t="shared" ref="L224:R224" si="246">L182</f>
        <v>0.54</v>
      </c>
      <c r="M224" s="232">
        <f t="shared" si="246"/>
        <v>0.54</v>
      </c>
      <c r="N224" s="236">
        <f t="shared" si="246"/>
        <v>0.53</v>
      </c>
      <c r="O224" s="236">
        <f t="shared" si="246"/>
        <v>0.53</v>
      </c>
      <c r="P224" s="236">
        <f t="shared" si="246"/>
        <v>0.53</v>
      </c>
      <c r="Q224" s="236">
        <f t="shared" si="246"/>
        <v>0.58000000000000007</v>
      </c>
      <c r="R224" s="236">
        <f t="shared" si="246"/>
        <v>0.63</v>
      </c>
      <c r="S224" s="222"/>
    </row>
    <row r="225" spans="1:19" x14ac:dyDescent="0.25">
      <c r="A225" s="221" t="s">
        <v>80</v>
      </c>
      <c r="B225" s="215">
        <f>L225*B222</f>
        <v>59.293999999999997</v>
      </c>
      <c r="C225" s="215">
        <f t="shared" ref="C225" si="247">M225*C222</f>
        <v>50.592346635688067</v>
      </c>
      <c r="D225" s="215">
        <f t="shared" ref="D225" si="248">N225*D222</f>
        <v>54.640034701794974</v>
      </c>
      <c r="E225" s="215">
        <f t="shared" ref="E225" si="249">O225*E222</f>
        <v>66.506163951481753</v>
      </c>
      <c r="F225" s="215">
        <f t="shared" ref="F225" si="250">P225*F222</f>
        <v>58.723844759960606</v>
      </c>
      <c r="G225" s="215">
        <f t="shared" ref="G225" si="251">Q225*G222</f>
        <v>70.83378119227423</v>
      </c>
      <c r="H225" s="215">
        <f t="shared" ref="H225" si="252">R225*H222</f>
        <v>78.279051694234013</v>
      </c>
      <c r="K225" s="221" t="s">
        <v>80</v>
      </c>
      <c r="L225" s="232">
        <f t="shared" ref="L225:R225" si="253">L183</f>
        <v>2.3E-2</v>
      </c>
      <c r="M225" s="232">
        <f t="shared" si="253"/>
        <v>2.3E-2</v>
      </c>
      <c r="N225" s="236">
        <f t="shared" si="253"/>
        <v>0.03</v>
      </c>
      <c r="O225" s="236">
        <f t="shared" si="253"/>
        <v>0.05</v>
      </c>
      <c r="P225" s="236">
        <f t="shared" si="253"/>
        <v>7.0000000000000007E-2</v>
      </c>
      <c r="Q225" s="236">
        <f t="shared" si="253"/>
        <v>9.5000000000000001E-2</v>
      </c>
      <c r="R225" s="236">
        <f t="shared" si="253"/>
        <v>0.12</v>
      </c>
      <c r="S225" s="222"/>
    </row>
    <row r="226" spans="1:19" x14ac:dyDescent="0.25">
      <c r="A226" s="219" t="s">
        <v>41</v>
      </c>
      <c r="B226" s="67">
        <f>L52</f>
        <v>2578</v>
      </c>
      <c r="C226" s="71">
        <f>C171:I171</f>
        <v>2186.8247549311191</v>
      </c>
      <c r="D226" s="71">
        <f>D171:J171</f>
        <v>1795.6495098622383</v>
      </c>
      <c r="E226" s="71">
        <f>E171:K171</f>
        <v>1258.610839707635</v>
      </c>
      <c r="F226" s="71">
        <f>N147</f>
        <v>721.57216955303193</v>
      </c>
      <c r="G226" s="71">
        <f>H171</f>
        <v>558.95433775381798</v>
      </c>
      <c r="H226" s="225">
        <f>O147</f>
        <v>396.33650595460409</v>
      </c>
      <c r="L226" s="232"/>
      <c r="M226" s="232"/>
      <c r="N226" s="236"/>
      <c r="O226" s="236"/>
      <c r="P226" s="236"/>
      <c r="Q226" s="236"/>
      <c r="R226" s="236"/>
      <c r="S226" s="222"/>
    </row>
    <row r="227" spans="1:19" x14ac:dyDescent="0.25">
      <c r="A227" s="221" t="s">
        <v>91</v>
      </c>
      <c r="B227" s="215">
        <f>L227*B226</f>
        <v>1126.586</v>
      </c>
      <c r="C227" s="215">
        <f t="shared" ref="C227" si="254">M227*C226</f>
        <v>955.64241790489905</v>
      </c>
      <c r="D227" s="215">
        <f t="shared" ref="D227" si="255">N227*D226</f>
        <v>790.08578433938487</v>
      </c>
      <c r="E227" s="215">
        <f t="shared" ref="E227" si="256">O227*E226</f>
        <v>465.68601069182495</v>
      </c>
      <c r="F227" s="215">
        <f t="shared" ref="F227" si="257">P227*F226</f>
        <v>216.47165086590957</v>
      </c>
      <c r="G227" s="215">
        <f t="shared" ref="G227" si="258">Q227*G226</f>
        <v>125.76472599460904</v>
      </c>
      <c r="H227" s="215">
        <f t="shared" ref="H227" si="259">R227*H226</f>
        <v>59.450475893190614</v>
      </c>
      <c r="K227" s="221" t="s">
        <v>98</v>
      </c>
      <c r="L227" s="232">
        <f t="shared" ref="L227:R227" si="260">L185</f>
        <v>0.437</v>
      </c>
      <c r="M227" s="232">
        <f t="shared" si="260"/>
        <v>0.437</v>
      </c>
      <c r="N227" s="236">
        <f t="shared" si="260"/>
        <v>0.44</v>
      </c>
      <c r="O227" s="236">
        <f t="shared" si="260"/>
        <v>0.37</v>
      </c>
      <c r="P227" s="236">
        <f t="shared" si="260"/>
        <v>0.3</v>
      </c>
      <c r="Q227" s="236">
        <f t="shared" si="260"/>
        <v>0.22499999999999998</v>
      </c>
      <c r="R227" s="236">
        <f t="shared" si="260"/>
        <v>0.15</v>
      </c>
      <c r="S227" s="222"/>
    </row>
    <row r="228" spans="1:19" x14ac:dyDescent="0.25">
      <c r="A228" s="221" t="s">
        <v>79</v>
      </c>
      <c r="B228" s="215">
        <f>L228*B226</f>
        <v>1392.1200000000001</v>
      </c>
      <c r="C228" s="215">
        <f t="shared" ref="C228" si="261">M228*C226</f>
        <v>1180.8853676628044</v>
      </c>
      <c r="D228" s="215">
        <f t="shared" ref="D228" si="262">N228*D226</f>
        <v>951.69424022698638</v>
      </c>
      <c r="E228" s="215">
        <f t="shared" ref="E228" si="263">O228*E226</f>
        <v>711.11512443481377</v>
      </c>
      <c r="F228" s="215">
        <f t="shared" ref="F228" si="264">P228*F226</f>
        <v>432.94330173181913</v>
      </c>
      <c r="G228" s="215">
        <f t="shared" ref="G228" si="265">Q228*G226</f>
        <v>363.32031953998165</v>
      </c>
      <c r="H228" s="215">
        <f t="shared" ref="H228" si="266">R228*H226</f>
        <v>277.43555416822284</v>
      </c>
      <c r="K228" s="221" t="s">
        <v>79</v>
      </c>
      <c r="L228" s="232">
        <f t="shared" ref="L228:R228" si="267">L186</f>
        <v>0.54</v>
      </c>
      <c r="M228" s="232">
        <f t="shared" si="267"/>
        <v>0.54</v>
      </c>
      <c r="N228" s="236">
        <f t="shared" si="267"/>
        <v>0.53</v>
      </c>
      <c r="O228" s="236">
        <f t="shared" si="267"/>
        <v>0.56499999999999995</v>
      </c>
      <c r="P228" s="236">
        <f t="shared" si="267"/>
        <v>0.6</v>
      </c>
      <c r="Q228" s="236">
        <f t="shared" si="267"/>
        <v>0.64999999999999991</v>
      </c>
      <c r="R228" s="236">
        <f t="shared" si="267"/>
        <v>0.7</v>
      </c>
      <c r="S228" s="222"/>
    </row>
    <row r="229" spans="1:19" ht="13.8" thickBot="1" x14ac:dyDescent="0.3">
      <c r="A229" s="226" t="s">
        <v>80</v>
      </c>
      <c r="B229" s="215">
        <f>L229*B226</f>
        <v>59.293999999999997</v>
      </c>
      <c r="C229" s="215">
        <f t="shared" ref="C229" si="268">M229*C226</f>
        <v>50.296969363415741</v>
      </c>
      <c r="D229" s="215">
        <f t="shared" ref="D229" si="269">N229*D226</f>
        <v>53.86948529586715</v>
      </c>
      <c r="E229" s="215">
        <f t="shared" ref="E229" si="270">O229*E226</f>
        <v>81.809704580996282</v>
      </c>
      <c r="F229" s="215">
        <f t="shared" ref="F229" si="271">P229*F226</f>
        <v>72.157216955303198</v>
      </c>
      <c r="G229" s="215">
        <f t="shared" ref="G229" si="272">Q229*G226</f>
        <v>69.869292219227248</v>
      </c>
      <c r="H229" s="215">
        <f t="shared" ref="H229" si="273">R229*H226</f>
        <v>59.450475893190614</v>
      </c>
      <c r="K229" s="221" t="s">
        <v>80</v>
      </c>
      <c r="L229" s="232">
        <f t="shared" ref="L229:R229" si="274">L187</f>
        <v>2.3E-2</v>
      </c>
      <c r="M229" s="232">
        <f t="shared" si="274"/>
        <v>2.3E-2</v>
      </c>
      <c r="N229" s="236">
        <f t="shared" si="274"/>
        <v>0.03</v>
      </c>
      <c r="O229" s="236">
        <f t="shared" si="274"/>
        <v>6.5000000000000002E-2</v>
      </c>
      <c r="P229" s="236">
        <f t="shared" si="274"/>
        <v>0.1</v>
      </c>
      <c r="Q229" s="236">
        <f t="shared" si="274"/>
        <v>0.125</v>
      </c>
      <c r="R229" s="236">
        <f t="shared" si="274"/>
        <v>0.15</v>
      </c>
      <c r="S229" s="227"/>
    </row>
    <row r="230" spans="1:19" ht="13.8" thickBot="1" x14ac:dyDescent="0.3">
      <c r="A230" s="254"/>
      <c r="B230" s="255"/>
      <c r="C230" s="255"/>
      <c r="D230" s="255"/>
      <c r="E230" s="255"/>
      <c r="F230" s="255"/>
      <c r="G230" s="255"/>
      <c r="H230" s="255"/>
      <c r="L230" s="256"/>
      <c r="M230" s="256"/>
      <c r="N230" s="257"/>
      <c r="O230" s="257"/>
      <c r="P230" s="257"/>
      <c r="Q230" s="257"/>
      <c r="R230" s="257"/>
      <c r="S230" s="64"/>
    </row>
    <row r="231" spans="1:19" s="213" customFormat="1" x14ac:dyDescent="0.25">
      <c r="A231" s="216" t="s">
        <v>94</v>
      </c>
      <c r="B231" s="217">
        <v>2011</v>
      </c>
      <c r="C231" s="217">
        <v>2015</v>
      </c>
      <c r="D231" s="217">
        <v>2020</v>
      </c>
      <c r="E231" s="217">
        <v>2025</v>
      </c>
      <c r="F231" s="217">
        <v>2030</v>
      </c>
      <c r="G231" s="217">
        <v>2040</v>
      </c>
      <c r="H231" s="218">
        <v>2050</v>
      </c>
      <c r="L231" s="216">
        <v>2011</v>
      </c>
      <c r="M231" s="217">
        <v>2015</v>
      </c>
      <c r="N231" s="217">
        <v>2020</v>
      </c>
      <c r="O231" s="217">
        <v>2025</v>
      </c>
      <c r="P231" s="217">
        <v>2030</v>
      </c>
      <c r="Q231" s="217">
        <v>2040</v>
      </c>
      <c r="R231" s="218">
        <v>2050</v>
      </c>
      <c r="S231" s="218"/>
    </row>
    <row r="232" spans="1:19" x14ac:dyDescent="0.25">
      <c r="A232" s="219" t="s">
        <v>42</v>
      </c>
      <c r="B232" s="215">
        <f>B153</f>
        <v>2248000</v>
      </c>
      <c r="C232" s="215">
        <f>C153</f>
        <v>2394646.6779310168</v>
      </c>
      <c r="D232" s="215">
        <f>D153</f>
        <v>2653907.2548743365</v>
      </c>
      <c r="E232" s="215">
        <f>E153</f>
        <v>2816614.7185939001</v>
      </c>
      <c r="F232" s="215">
        <f>G153</f>
        <v>3087233.270393461</v>
      </c>
      <c r="G232" s="215">
        <f>H153</f>
        <v>2788935.0459882622</v>
      </c>
      <c r="H232" s="220">
        <f>I153</f>
        <v>2490636.8215830633</v>
      </c>
      <c r="L232" s="228"/>
      <c r="M232" s="230"/>
      <c r="N232" s="230"/>
      <c r="O232" s="230"/>
      <c r="P232" s="230"/>
      <c r="Q232" s="230"/>
      <c r="R232" s="231"/>
      <c r="S232" s="231"/>
    </row>
    <row r="233" spans="1:19" x14ac:dyDescent="0.25">
      <c r="A233" s="221" t="s">
        <v>91</v>
      </c>
      <c r="B233" s="215"/>
      <c r="C233" s="215"/>
      <c r="D233" s="215"/>
      <c r="E233" s="215"/>
      <c r="F233" s="215"/>
      <c r="G233" s="71"/>
      <c r="H233" s="220"/>
      <c r="K233" s="221" t="s">
        <v>98</v>
      </c>
      <c r="L233" s="228">
        <v>0.437</v>
      </c>
      <c r="M233" s="228">
        <v>0.437</v>
      </c>
      <c r="N233" s="230"/>
      <c r="O233" s="229"/>
      <c r="P233" s="230"/>
      <c r="Q233" s="229"/>
      <c r="R233" s="231"/>
      <c r="S233" s="231"/>
    </row>
    <row r="234" spans="1:19" x14ac:dyDescent="0.25">
      <c r="A234" s="221" t="s">
        <v>79</v>
      </c>
      <c r="B234" s="215"/>
      <c r="C234" s="215"/>
      <c r="D234" s="215"/>
      <c r="E234" s="215"/>
      <c r="F234" s="215"/>
      <c r="G234" s="71"/>
      <c r="H234" s="220"/>
      <c r="K234" s="221" t="s">
        <v>79</v>
      </c>
      <c r="L234" s="228">
        <v>0.54</v>
      </c>
      <c r="M234" s="228">
        <v>0.54</v>
      </c>
      <c r="N234" s="230"/>
      <c r="O234" s="229"/>
      <c r="P234" s="230"/>
      <c r="Q234" s="229"/>
      <c r="R234" s="231"/>
      <c r="S234" s="231"/>
    </row>
    <row r="235" spans="1:19" x14ac:dyDescent="0.25">
      <c r="A235" s="221" t="s">
        <v>80</v>
      </c>
      <c r="B235" s="215"/>
      <c r="C235" s="215"/>
      <c r="D235" s="215"/>
      <c r="E235" s="215"/>
      <c r="F235" s="215"/>
      <c r="G235" s="71"/>
      <c r="H235" s="220"/>
      <c r="K235" s="221" t="s">
        <v>80</v>
      </c>
      <c r="L235" s="228">
        <v>2.3E-2</v>
      </c>
      <c r="M235" s="228">
        <v>2.3E-2</v>
      </c>
      <c r="N235" s="230"/>
      <c r="O235" s="229"/>
      <c r="P235" s="230"/>
      <c r="Q235" s="229"/>
      <c r="R235" s="231"/>
      <c r="S235" s="231"/>
    </row>
    <row r="236" spans="1:19" x14ac:dyDescent="0.25">
      <c r="A236" s="219" t="s">
        <v>24</v>
      </c>
      <c r="B236" s="215">
        <f>B160</f>
        <v>2248000</v>
      </c>
      <c r="C236" s="215">
        <f>C160</f>
        <v>2215366.2714910498</v>
      </c>
      <c r="D236" s="215">
        <f>D160</f>
        <v>2295346.4419944016</v>
      </c>
      <c r="E236" s="215">
        <f>E160</f>
        <v>2327318.0008590966</v>
      </c>
      <c r="F236" s="215">
        <f>G160</f>
        <v>2359289.5597237912</v>
      </c>
      <c r="G236" s="215">
        <f>H160</f>
        <v>2125835.9434233787</v>
      </c>
      <c r="H236" s="220">
        <f>I160</f>
        <v>1892382.3271229663</v>
      </c>
      <c r="L236" s="228"/>
      <c r="M236" s="230"/>
      <c r="N236" s="230"/>
      <c r="O236" s="230"/>
      <c r="P236" s="230"/>
      <c r="Q236" s="229"/>
      <c r="R236" s="231"/>
      <c r="S236" s="231"/>
    </row>
    <row r="237" spans="1:19" x14ac:dyDescent="0.25">
      <c r="A237" s="221" t="s">
        <v>91</v>
      </c>
      <c r="B237" s="215"/>
      <c r="C237" s="215"/>
      <c r="D237" s="215"/>
      <c r="E237" s="215"/>
      <c r="F237" s="215"/>
      <c r="G237" s="71"/>
      <c r="H237" s="220"/>
      <c r="K237" s="221" t="s">
        <v>98</v>
      </c>
      <c r="L237" s="228">
        <f>L233</f>
        <v>0.437</v>
      </c>
      <c r="M237" s="228">
        <f>M233</f>
        <v>0.437</v>
      </c>
      <c r="N237" s="230"/>
      <c r="O237" s="229"/>
      <c r="P237" s="230"/>
      <c r="Q237" s="229"/>
      <c r="R237" s="231"/>
      <c r="S237" s="231"/>
    </row>
    <row r="238" spans="1:19" x14ac:dyDescent="0.25">
      <c r="A238" s="221" t="s">
        <v>79</v>
      </c>
      <c r="B238" s="215"/>
      <c r="C238" s="215"/>
      <c r="D238" s="215"/>
      <c r="E238" s="215"/>
      <c r="F238" s="215"/>
      <c r="G238" s="71"/>
      <c r="H238" s="220"/>
      <c r="K238" s="221" t="s">
        <v>79</v>
      </c>
      <c r="L238" s="228">
        <f t="shared" ref="L238:M238" si="275">L234</f>
        <v>0.54</v>
      </c>
      <c r="M238" s="228">
        <f t="shared" si="275"/>
        <v>0.54</v>
      </c>
      <c r="N238" s="230"/>
      <c r="O238" s="229"/>
      <c r="P238" s="230"/>
      <c r="Q238" s="229"/>
      <c r="R238" s="231"/>
      <c r="S238" s="231"/>
    </row>
    <row r="239" spans="1:19" x14ac:dyDescent="0.25">
      <c r="A239" s="221" t="s">
        <v>80</v>
      </c>
      <c r="B239" s="215"/>
      <c r="C239" s="215"/>
      <c r="D239" s="215"/>
      <c r="E239" s="215"/>
      <c r="F239" s="215"/>
      <c r="G239" s="71"/>
      <c r="H239" s="220"/>
      <c r="K239" s="221" t="s">
        <v>80</v>
      </c>
      <c r="L239" s="228">
        <f t="shared" ref="L239:M239" si="276">L235</f>
        <v>2.3E-2</v>
      </c>
      <c r="M239" s="228">
        <f t="shared" si="276"/>
        <v>2.3E-2</v>
      </c>
      <c r="N239" s="230"/>
      <c r="O239" s="229"/>
      <c r="P239" s="230"/>
      <c r="Q239" s="229"/>
      <c r="R239" s="231"/>
      <c r="S239" s="231"/>
    </row>
    <row r="240" spans="1:19" x14ac:dyDescent="0.25">
      <c r="A240" s="219" t="s">
        <v>41</v>
      </c>
      <c r="B240" s="215">
        <f>B167</f>
        <v>2248000</v>
      </c>
      <c r="C240" s="215">
        <f>C167</f>
        <v>2196370.4249105351</v>
      </c>
      <c r="D240" s="215">
        <f>D167</f>
        <v>1986918.7766279592</v>
      </c>
      <c r="E240" s="215">
        <f>E167</f>
        <v>1710274.5441133208</v>
      </c>
      <c r="F240" s="215">
        <f>G167</f>
        <v>1433630.3115986825</v>
      </c>
      <c r="G240" s="215">
        <f>H167</f>
        <v>982257.6511180012</v>
      </c>
      <c r="H240" s="220">
        <f>I167</f>
        <v>530884.99063731998</v>
      </c>
      <c r="L240" s="228"/>
      <c r="M240" s="230"/>
      <c r="N240" s="230"/>
      <c r="O240" s="229"/>
      <c r="P240" s="230"/>
      <c r="Q240" s="229"/>
      <c r="R240" s="231"/>
      <c r="S240" s="231"/>
    </row>
    <row r="241" spans="1:19" x14ac:dyDescent="0.25">
      <c r="A241" s="221" t="s">
        <v>91</v>
      </c>
      <c r="B241" s="215"/>
      <c r="C241" s="215"/>
      <c r="D241" s="215"/>
      <c r="E241" s="215"/>
      <c r="F241" s="215"/>
      <c r="G241" s="71"/>
      <c r="H241" s="220"/>
      <c r="K241" s="221" t="s">
        <v>98</v>
      </c>
      <c r="L241" s="228">
        <f>L237</f>
        <v>0.437</v>
      </c>
      <c r="M241" s="228">
        <f>M237</f>
        <v>0.437</v>
      </c>
      <c r="N241" s="230"/>
      <c r="O241" s="229"/>
      <c r="P241" s="230"/>
      <c r="Q241" s="229"/>
      <c r="R241" s="231"/>
      <c r="S241" s="231"/>
    </row>
    <row r="242" spans="1:19" x14ac:dyDescent="0.25">
      <c r="A242" s="221" t="s">
        <v>79</v>
      </c>
      <c r="B242" s="215"/>
      <c r="C242" s="215"/>
      <c r="D242" s="215"/>
      <c r="E242" s="215"/>
      <c r="F242" s="215"/>
      <c r="G242" s="71"/>
      <c r="H242" s="220"/>
      <c r="K242" s="221" t="s">
        <v>79</v>
      </c>
      <c r="L242" s="228">
        <f t="shared" ref="L242:M242" si="277">L238</f>
        <v>0.54</v>
      </c>
      <c r="M242" s="228">
        <f t="shared" si="277"/>
        <v>0.54</v>
      </c>
      <c r="N242" s="230"/>
      <c r="O242" s="229"/>
      <c r="P242" s="230"/>
      <c r="Q242" s="229"/>
      <c r="R242" s="231"/>
      <c r="S242" s="231"/>
    </row>
    <row r="243" spans="1:19" x14ac:dyDescent="0.25">
      <c r="A243" s="221" t="s">
        <v>80</v>
      </c>
      <c r="B243" s="215"/>
      <c r="C243" s="215"/>
      <c r="D243" s="215"/>
      <c r="E243" s="215"/>
      <c r="F243" s="215"/>
      <c r="G243" s="71"/>
      <c r="H243" s="220"/>
      <c r="K243" s="221" t="s">
        <v>80</v>
      </c>
      <c r="L243" s="228">
        <f t="shared" ref="L243:M243" si="278">L239</f>
        <v>2.3E-2</v>
      </c>
      <c r="M243" s="228">
        <f t="shared" si="278"/>
        <v>2.3E-2</v>
      </c>
      <c r="N243" s="230"/>
      <c r="O243" s="229"/>
      <c r="P243" s="230"/>
      <c r="Q243" s="229"/>
      <c r="R243" s="231"/>
      <c r="S243" s="231"/>
    </row>
    <row r="244" spans="1:19" x14ac:dyDescent="0.25">
      <c r="A244" s="254"/>
      <c r="B244" s="255"/>
      <c r="C244" s="255"/>
      <c r="D244" s="255"/>
      <c r="E244" s="255"/>
      <c r="F244" s="255"/>
      <c r="G244" s="255"/>
      <c r="H244" s="255"/>
      <c r="L244" s="256"/>
      <c r="M244" s="256"/>
      <c r="N244" s="257"/>
      <c r="O244" s="257"/>
      <c r="P244" s="257"/>
      <c r="Q244" s="257"/>
      <c r="R244" s="257"/>
      <c r="S244" s="64"/>
    </row>
    <row r="245" spans="1:19" x14ac:dyDescent="0.25">
      <c r="A245" s="254"/>
      <c r="B245" s="255"/>
      <c r="C245" s="255"/>
      <c r="D245" s="255"/>
      <c r="E245" s="255"/>
      <c r="F245" s="255"/>
      <c r="G245" s="255"/>
      <c r="H245" s="255"/>
      <c r="L245" s="256"/>
      <c r="M245" s="256"/>
      <c r="N245" s="257"/>
      <c r="O245" s="257"/>
      <c r="P245" s="257"/>
      <c r="Q245" s="257"/>
      <c r="R245" s="257"/>
      <c r="S245" s="64"/>
    </row>
    <row r="246" spans="1:19" x14ac:dyDescent="0.25">
      <c r="A246" s="254"/>
      <c r="B246" s="255"/>
      <c r="C246" s="255"/>
      <c r="D246" s="255"/>
      <c r="E246" s="255"/>
      <c r="F246" s="255"/>
      <c r="G246" s="255"/>
      <c r="H246" s="255"/>
      <c r="L246" s="256"/>
      <c r="M246" s="256"/>
      <c r="N246" s="257"/>
      <c r="O246" s="257"/>
      <c r="P246" s="257"/>
      <c r="Q246" s="257"/>
      <c r="R246" s="257"/>
      <c r="S246" s="64"/>
    </row>
    <row r="247" spans="1:19" x14ac:dyDescent="0.25">
      <c r="A247" s="254"/>
      <c r="B247" s="255"/>
      <c r="C247" s="255"/>
      <c r="D247" s="255"/>
      <c r="E247" s="255"/>
      <c r="F247" s="255"/>
      <c r="G247" s="255"/>
      <c r="H247" s="255"/>
      <c r="L247" s="256"/>
      <c r="M247" s="256"/>
      <c r="N247" s="257"/>
      <c r="O247" s="257"/>
      <c r="P247" s="257"/>
      <c r="Q247" s="257"/>
      <c r="R247" s="257"/>
      <c r="S247" s="64"/>
    </row>
    <row r="248" spans="1:19" x14ac:dyDescent="0.25">
      <c r="A248" s="254"/>
      <c r="B248" s="255"/>
      <c r="C248" s="255"/>
      <c r="D248" s="255"/>
      <c r="E248" s="255"/>
      <c r="F248" s="255"/>
      <c r="G248" s="255"/>
      <c r="H248" s="255"/>
      <c r="L248" s="256"/>
      <c r="M248" s="256"/>
      <c r="N248" s="257"/>
      <c r="O248" s="257"/>
      <c r="P248" s="257"/>
      <c r="Q248" s="257"/>
      <c r="R248" s="257"/>
      <c r="S248" s="64"/>
    </row>
    <row r="249" spans="1:19" x14ac:dyDescent="0.25">
      <c r="A249" s="254"/>
      <c r="B249" s="255"/>
      <c r="C249" s="255"/>
      <c r="D249" s="255"/>
      <c r="E249" s="255"/>
      <c r="F249" s="255"/>
      <c r="G249" s="255"/>
      <c r="H249" s="255"/>
      <c r="L249" s="256"/>
      <c r="M249" s="256"/>
      <c r="N249" s="257"/>
      <c r="O249" s="257"/>
      <c r="P249" s="257"/>
      <c r="Q249" s="257"/>
      <c r="R249" s="257"/>
      <c r="S249" s="64"/>
    </row>
    <row r="250" spans="1:19" x14ac:dyDescent="0.25">
      <c r="A250" s="254"/>
      <c r="B250" s="255"/>
      <c r="C250" s="255"/>
      <c r="D250" s="255"/>
      <c r="E250" s="255"/>
      <c r="F250" s="255"/>
      <c r="G250" s="255"/>
      <c r="H250" s="255"/>
      <c r="L250" s="256"/>
      <c r="M250" s="256"/>
      <c r="N250" s="257"/>
      <c r="O250" s="257"/>
      <c r="P250" s="257"/>
      <c r="Q250" s="257"/>
      <c r="R250" s="257"/>
      <c r="S250" s="64"/>
    </row>
    <row r="251" spans="1:19" x14ac:dyDescent="0.25">
      <c r="A251" s="254"/>
      <c r="B251" s="255"/>
      <c r="C251" s="255"/>
      <c r="D251" s="255"/>
      <c r="E251" s="255"/>
      <c r="F251" s="255"/>
      <c r="G251" s="255"/>
      <c r="H251" s="255"/>
      <c r="L251" s="256"/>
      <c r="M251" s="256"/>
      <c r="N251" s="257"/>
      <c r="O251" s="257"/>
      <c r="P251" s="257"/>
      <c r="Q251" s="257"/>
      <c r="R251" s="257"/>
      <c r="S251" s="64"/>
    </row>
    <row r="252" spans="1:19" x14ac:dyDescent="0.25">
      <c r="A252" s="254"/>
      <c r="B252" s="255"/>
      <c r="C252" s="255"/>
      <c r="D252" s="255"/>
      <c r="E252" s="255"/>
      <c r="F252" s="255"/>
      <c r="G252" s="255"/>
      <c r="H252" s="255"/>
      <c r="L252" s="256"/>
      <c r="M252" s="256"/>
      <c r="N252" s="257"/>
      <c r="O252" s="257"/>
      <c r="P252" s="257"/>
      <c r="Q252" s="257"/>
      <c r="R252" s="257"/>
      <c r="S252" s="64"/>
    </row>
    <row r="253" spans="1:19" x14ac:dyDescent="0.25">
      <c r="A253" s="254"/>
      <c r="B253" s="255"/>
      <c r="C253" s="255"/>
      <c r="D253" s="255"/>
      <c r="E253" s="255"/>
      <c r="F253" s="255"/>
      <c r="G253" s="255"/>
      <c r="H253" s="255"/>
      <c r="L253" s="256"/>
      <c r="M253" s="256"/>
      <c r="N253" s="257"/>
      <c r="O253" s="257"/>
      <c r="P253" s="257"/>
      <c r="Q253" s="257"/>
      <c r="R253" s="257"/>
      <c r="S253" s="64"/>
    </row>
    <row r="254" spans="1:19" x14ac:dyDescent="0.25">
      <c r="A254" s="254"/>
      <c r="B254" s="255"/>
      <c r="C254" s="255"/>
      <c r="D254" s="255"/>
      <c r="E254" s="255"/>
      <c r="F254" s="255"/>
      <c r="G254" s="255"/>
      <c r="H254" s="255"/>
      <c r="L254" s="256"/>
      <c r="M254" s="256"/>
      <c r="N254" s="257"/>
      <c r="O254" s="257"/>
      <c r="P254" s="257"/>
      <c r="Q254" s="257"/>
      <c r="R254" s="257"/>
      <c r="S254" s="64"/>
    </row>
    <row r="257" spans="1:16" x14ac:dyDescent="0.25">
      <c r="A257" s="52" t="s">
        <v>89</v>
      </c>
    </row>
    <row r="258" spans="1:16" x14ac:dyDescent="0.25">
      <c r="A258" s="52" t="s">
        <v>88</v>
      </c>
    </row>
    <row r="259" spans="1:16" x14ac:dyDescent="0.25">
      <c r="A259" s="52" t="s">
        <v>95</v>
      </c>
    </row>
    <row r="267" spans="1:16" x14ac:dyDescent="0.25">
      <c r="P267" s="210"/>
    </row>
  </sheetData>
  <mergeCells count="12">
    <mergeCell ref="L126:N126"/>
    <mergeCell ref="L137:N137"/>
    <mergeCell ref="L115:N115"/>
    <mergeCell ref="L9:N9"/>
    <mergeCell ref="L20:N20"/>
    <mergeCell ref="L56:N56"/>
    <mergeCell ref="L67:N67"/>
    <mergeCell ref="L104:N104"/>
    <mergeCell ref="L31:N31"/>
    <mergeCell ref="L42:N42"/>
    <mergeCell ref="L78:N78"/>
    <mergeCell ref="L89:N89"/>
  </mergeCells>
  <hyperlinks>
    <hyperlink ref="P153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W206"/>
  <sheetViews>
    <sheetView zoomScaleNormal="100" workbookViewId="0">
      <selection activeCell="D11" sqref="D11"/>
    </sheetView>
  </sheetViews>
  <sheetFormatPr defaultColWidth="9.109375" defaultRowHeight="13.2" x14ac:dyDescent="0.25"/>
  <cols>
    <col min="1" max="1" width="30.5546875" style="52" customWidth="1"/>
    <col min="2" max="4" width="9.5546875" style="52" bestFit="1" customWidth="1"/>
    <col min="5" max="5" width="11.109375" style="52" customWidth="1"/>
    <col min="6" max="6" width="5.33203125" style="52" hidden="1" customWidth="1"/>
    <col min="7" max="7" width="9.33203125" style="52" bestFit="1" customWidth="1"/>
    <col min="8" max="8" width="12.109375" style="52" customWidth="1"/>
    <col min="9" max="10" width="9.109375" style="52"/>
    <col min="11" max="11" width="4.33203125" style="52" customWidth="1"/>
    <col min="12" max="12" width="9.109375" style="52"/>
    <col min="13" max="13" width="12.5546875" style="52" customWidth="1"/>
    <col min="14" max="14" width="21.6640625" style="52" bestFit="1" customWidth="1"/>
    <col min="15" max="15" width="12.33203125" style="52" bestFit="1" customWidth="1"/>
    <col min="16" max="16384" width="9.109375" style="52"/>
  </cols>
  <sheetData>
    <row r="1" spans="1:49" x14ac:dyDescent="0.25">
      <c r="A1" s="52" t="s">
        <v>89</v>
      </c>
    </row>
    <row r="2" spans="1:49" x14ac:dyDescent="0.25">
      <c r="A2" s="52" t="s">
        <v>99</v>
      </c>
    </row>
    <row r="3" spans="1:49" x14ac:dyDescent="0.25">
      <c r="A3" s="52" t="s">
        <v>100</v>
      </c>
    </row>
    <row r="6" spans="1:49" x14ac:dyDescent="0.25">
      <c r="A6" s="52" t="s">
        <v>67</v>
      </c>
    </row>
    <row r="7" spans="1:49" s="162" customFormat="1" ht="13.8" thickBot="1" x14ac:dyDescent="0.3"/>
    <row r="8" spans="1:49" s="162" customFormat="1" x14ac:dyDescent="0.25">
      <c r="G8" s="153" t="s">
        <v>42</v>
      </c>
      <c r="H8" s="154"/>
      <c r="I8" s="154"/>
      <c r="J8" s="155"/>
      <c r="K8" s="156"/>
      <c r="L8" s="156" t="s">
        <v>42</v>
      </c>
      <c r="M8" s="154"/>
      <c r="N8" s="154"/>
      <c r="O8" s="157"/>
    </row>
    <row r="9" spans="1:49" ht="13.8" thickBot="1" x14ac:dyDescent="0.3">
      <c r="A9" s="52" t="s">
        <v>66</v>
      </c>
      <c r="G9" s="198" t="s">
        <v>48</v>
      </c>
      <c r="H9" s="112"/>
      <c r="I9" s="112"/>
      <c r="J9" s="199"/>
      <c r="K9" s="112"/>
      <c r="L9" s="265" t="s">
        <v>65</v>
      </c>
      <c r="M9" s="265"/>
      <c r="N9" s="266"/>
      <c r="O9" s="124"/>
    </row>
    <row r="10" spans="1:49" s="108" customFormat="1" ht="13.8" thickBot="1" x14ac:dyDescent="0.3">
      <c r="A10" s="106" t="s">
        <v>64</v>
      </c>
      <c r="B10" s="107">
        <v>2010</v>
      </c>
      <c r="C10" s="107">
        <v>2020</v>
      </c>
      <c r="D10" s="107">
        <v>2030</v>
      </c>
      <c r="E10" s="108">
        <v>2050</v>
      </c>
      <c r="G10" s="106">
        <v>2010</v>
      </c>
      <c r="H10" s="107">
        <v>2020</v>
      </c>
      <c r="I10" s="114">
        <v>2030</v>
      </c>
      <c r="J10" s="137">
        <v>2050</v>
      </c>
      <c r="L10" s="107">
        <v>2011</v>
      </c>
      <c r="M10" s="107">
        <v>2020</v>
      </c>
      <c r="N10" s="114">
        <v>2030</v>
      </c>
      <c r="O10" s="123">
        <v>2050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</row>
    <row r="11" spans="1:49" x14ac:dyDescent="0.25">
      <c r="A11" s="73" t="s">
        <v>63</v>
      </c>
      <c r="B11" s="73"/>
      <c r="C11" s="160">
        <v>0.33</v>
      </c>
      <c r="D11" s="261">
        <f>0.38/3</f>
        <v>0.12666666666666668</v>
      </c>
      <c r="E11" s="182">
        <f t="shared" ref="E11:E18" si="0">D11*$D$19</f>
        <v>9.5000000000000001E-2</v>
      </c>
      <c r="G11" s="75"/>
      <c r="H11" s="74">
        <f>[2]TransportB_VS!$E$56+[2]TransportB_VS!$G$56+[2]TransportB_VS!$H$56+[2]TransportB_VS!$L$56</f>
        <v>0.71500000000000008</v>
      </c>
      <c r="I11" s="132">
        <f>[6]Transport30B_VS!$E$56+[6]Transport30B_VS!$G$56+[6]Transport30B_VS!$H$56+[6]Transport30B_VS!$L$56</f>
        <v>0.68</v>
      </c>
      <c r="J11" s="142">
        <f>[7]TransportB_EE!$E$56+[7]TransportB_EE!$G$56+[7]TransportB_EE!$H$56+[7]TransportB_EE!$L$56</f>
        <v>0.58000000000000007</v>
      </c>
      <c r="K11" s="64"/>
      <c r="L11" s="73"/>
      <c r="M11" s="72">
        <f>C11*Labisoit!$H$7*H11</f>
        <v>1879.4960553899193</v>
      </c>
      <c r="N11" s="115">
        <f>D11*Labisoit!$H$35*I11</f>
        <v>787.7348351830974</v>
      </c>
      <c r="O11" s="115">
        <f>E11*Labisoit!$H$64*J11</f>
        <v>555.99499116830077</v>
      </c>
    </row>
    <row r="12" spans="1:49" x14ac:dyDescent="0.25">
      <c r="A12" s="67" t="s">
        <v>56</v>
      </c>
      <c r="B12" s="67"/>
      <c r="C12" s="160">
        <v>0.53</v>
      </c>
      <c r="D12" s="160">
        <v>0.2</v>
      </c>
      <c r="E12" s="182">
        <f t="shared" si="0"/>
        <v>0.15000000000000002</v>
      </c>
      <c r="G12" s="69"/>
      <c r="H12" s="68">
        <f>100%-H11</f>
        <v>0.28499999999999992</v>
      </c>
      <c r="I12" s="133">
        <f>[6]Transport30B_VS!$F$56+[6]Transport30B_VS!$J$56</f>
        <v>0.31</v>
      </c>
      <c r="J12" s="142">
        <f>[7]TransportB_EE!$F$56+[7]TransportB_EE!$J$56</f>
        <v>0.37</v>
      </c>
      <c r="K12" s="64"/>
      <c r="L12" s="67"/>
      <c r="M12" s="72">
        <f>C12*Labisoit!$H$7*H12</f>
        <v>1203.2120329164959</v>
      </c>
      <c r="N12" s="115">
        <f>D12*Labisoit!$H$35*I12</f>
        <v>567.02275287947407</v>
      </c>
      <c r="O12" s="115">
        <f>E12*Labisoit!$H$64*J12</f>
        <v>560.03125244719956</v>
      </c>
    </row>
    <row r="13" spans="1:49" x14ac:dyDescent="0.25">
      <c r="A13" s="67" t="s">
        <v>62</v>
      </c>
      <c r="B13" s="67"/>
      <c r="C13" s="160">
        <v>7.1</v>
      </c>
      <c r="D13" s="160">
        <f>C13/2</f>
        <v>3.55</v>
      </c>
      <c r="E13" s="182">
        <f t="shared" si="0"/>
        <v>2.6624999999999996</v>
      </c>
      <c r="G13" s="69"/>
      <c r="H13" s="68">
        <f>[2]TransportB_VS!$F$57+[2]TransportB_VS!$J$57-1%</f>
        <v>0.94500000000000006</v>
      </c>
      <c r="I13" s="133">
        <f>[6]Transport30B_VS!$F$57+[6]Transport30B_VS!$J$57</f>
        <v>0.84999999999999987</v>
      </c>
      <c r="J13" s="143">
        <f>[7]TransportB_EE!$F$57+[7]TransportB_EE!$J$57</f>
        <v>0.8</v>
      </c>
      <c r="K13" s="64"/>
      <c r="L13" s="67"/>
      <c r="M13" s="71">
        <f>C13*Labisoit!$H$8*'Ohusaaste (joonised)'!H13</f>
        <v>693.90665476886727</v>
      </c>
      <c r="N13" s="116">
        <f>D13*Labisoit!$H$36*'Ohusaaste (joonised)'!I13</f>
        <v>296.68845850399072</v>
      </c>
      <c r="O13" s="115">
        <f>E13*Labisoit!$H$65*J13</f>
        <v>220.28782691075151</v>
      </c>
    </row>
    <row r="14" spans="1:49" x14ac:dyDescent="0.25">
      <c r="A14" s="67" t="s">
        <v>61</v>
      </c>
      <c r="B14" s="67"/>
      <c r="C14" s="160">
        <v>2.1</v>
      </c>
      <c r="D14" s="160">
        <v>0.7</v>
      </c>
      <c r="E14" s="182">
        <f t="shared" si="0"/>
        <v>0.52499999999999991</v>
      </c>
      <c r="G14" s="69"/>
      <c r="H14" s="68">
        <f>100%-H13</f>
        <v>5.4999999999999938E-2</v>
      </c>
      <c r="I14" s="68">
        <f>[6]Transport30B_VS!$L$57+[6]Transport30B_VS!$G$57</f>
        <v>0.1</v>
      </c>
      <c r="J14" s="145">
        <f>[7]TransportB_EE!$G$57</f>
        <v>0.1</v>
      </c>
      <c r="K14" s="64"/>
      <c r="L14" s="67"/>
      <c r="M14" s="71">
        <f>C14*Labisoit!$H$8*'Ohusaaste (joonised)'!H14</f>
        <v>11.945184980371724</v>
      </c>
      <c r="N14" s="116">
        <f>D14*Labisoit!$H$36*'Ohusaaste (joonised)'!I14</f>
        <v>6.8825823016667291</v>
      </c>
      <c r="O14" s="115">
        <f>E14*Labisoit!$H$65*J14</f>
        <v>5.429629536532607</v>
      </c>
    </row>
    <row r="15" spans="1:49" x14ac:dyDescent="0.25">
      <c r="A15" s="67" t="s">
        <v>60</v>
      </c>
      <c r="B15" s="67"/>
      <c r="C15" s="160">
        <v>0.7</v>
      </c>
      <c r="D15" s="175">
        <f>C15/2</f>
        <v>0.35</v>
      </c>
      <c r="E15" s="182">
        <f t="shared" si="0"/>
        <v>0.26249999999999996</v>
      </c>
      <c r="G15" s="69"/>
      <c r="H15" s="68">
        <f>[2]TransportB_VS!$F$63+[2]TransportB_VS!$J$63</f>
        <v>0.98499999999999999</v>
      </c>
      <c r="I15" s="68">
        <f>[6]Transport30B_VS!$F$63+[6]Transport30B_VS!$J$63</f>
        <v>0.96</v>
      </c>
      <c r="J15" s="145">
        <f>[7]TransportB_EE!$F$63+[7]TransportB_EE!$J$63</f>
        <v>0.92999999999999994</v>
      </c>
      <c r="K15" s="64"/>
      <c r="L15" s="67"/>
      <c r="M15" s="71">
        <f>C15*Labisoit!$C$21*'Ohusaaste (joonised)'!H15</f>
        <v>4958.3057074647304</v>
      </c>
      <c r="N15" s="116">
        <f>D15*Labisoit!$C$50*'Ohusaaste (joonised)'!I15</f>
        <v>2999.0619996514188</v>
      </c>
      <c r="O15" s="115">
        <f>E15*Labisoit!$C$79*J15</f>
        <v>2317.4592927669873</v>
      </c>
    </row>
    <row r="16" spans="1:49" x14ac:dyDescent="0.25">
      <c r="A16" s="67" t="s">
        <v>46</v>
      </c>
      <c r="B16" s="67"/>
      <c r="C16" s="160">
        <v>0.25</v>
      </c>
      <c r="D16" s="175">
        <f>C16/2</f>
        <v>0.125</v>
      </c>
      <c r="E16" s="182">
        <f t="shared" si="0"/>
        <v>9.375E-2</v>
      </c>
      <c r="G16" s="69"/>
      <c r="H16" s="68">
        <f>100%-H15</f>
        <v>1.5000000000000013E-2</v>
      </c>
      <c r="I16" s="68">
        <f>[6]Transport30B_VS!$G$63+[6]Transport30B_VS!$L$63</f>
        <v>0.03</v>
      </c>
      <c r="J16" s="145">
        <f>[7]TransportB_EE!$G$63</f>
        <v>0.05</v>
      </c>
      <c r="K16" s="64"/>
      <c r="L16" s="67"/>
      <c r="M16" s="71">
        <f>C16*Labisoit!$C$21*'Ohusaaste (joonised)'!H16</f>
        <v>26.966854826675501</v>
      </c>
      <c r="N16" s="116">
        <f>D16*Labisoit!$C$50*'Ohusaaste (joonised)'!I16</f>
        <v>33.471674103252447</v>
      </c>
      <c r="O16" s="115">
        <f>E16*Labisoit!$C$79*J16</f>
        <v>44.498066297369206</v>
      </c>
    </row>
    <row r="17" spans="1:49" x14ac:dyDescent="0.25">
      <c r="A17" s="67" t="s">
        <v>59</v>
      </c>
      <c r="B17" s="67"/>
      <c r="C17" s="160">
        <v>0.2</v>
      </c>
      <c r="D17" s="160">
        <v>0.2</v>
      </c>
      <c r="E17" s="182">
        <f t="shared" si="0"/>
        <v>0.15000000000000002</v>
      </c>
      <c r="G17" s="69"/>
      <c r="H17" s="146">
        <f>[2]TransportB_VS!$F$58+[2]TransportB_VS!$J$58</f>
        <v>0.3</v>
      </c>
      <c r="I17" s="146">
        <f>[6]Transport30B_VS!$F$58+[6]Transport30B_VS!$J$58</f>
        <v>0.24999999999999997</v>
      </c>
      <c r="J17" s="128">
        <f>[7]TransportB_EE!$F$58</f>
        <v>9.9999999999999978E-2</v>
      </c>
      <c r="K17" s="64"/>
      <c r="L17" s="67"/>
      <c r="M17" s="92">
        <f>C17*Labisoit!$C$9*H17</f>
        <v>38.658871975644928</v>
      </c>
      <c r="N17" s="92">
        <f>D17*Labisoit!$C$37*I17</f>
        <v>35.753674294372615</v>
      </c>
      <c r="O17" s="115">
        <f>E17*Labisoit!$C$66*J17</f>
        <v>11.758169395652386</v>
      </c>
    </row>
    <row r="18" spans="1:49" ht="13.8" thickBot="1" x14ac:dyDescent="0.3">
      <c r="A18" s="63" t="s">
        <v>58</v>
      </c>
      <c r="B18" s="63"/>
      <c r="C18" s="160">
        <f>0.64*0.5</f>
        <v>0.32</v>
      </c>
      <c r="D18" s="160">
        <f>0.64*0.5*0.33</f>
        <v>0.10560000000000001</v>
      </c>
      <c r="E18" s="182">
        <f t="shared" si="0"/>
        <v>7.9200000000000007E-2</v>
      </c>
      <c r="G18" s="66"/>
      <c r="H18" s="65">
        <f>[2]TransportB_VS!$F$66</f>
        <v>1</v>
      </c>
      <c r="I18" s="134">
        <f>[6]Transport30B_VS!$F$64+[6]Transport30B_VS!$J$64</f>
        <v>1</v>
      </c>
      <c r="J18" s="144">
        <f>[7]TransportB_EE!$F$64</f>
        <v>0.7</v>
      </c>
      <c r="K18" s="64"/>
      <c r="L18" s="63"/>
      <c r="M18" s="62">
        <f>C18*Labisoit!$C$22*'Ohusaaste (joonised)'!H18</f>
        <v>2124.1584109627452</v>
      </c>
      <c r="N18" s="117">
        <f>D18*Labisoit!$C$51*'Ohusaaste (joonised)'!I18</f>
        <v>711.05580242361975</v>
      </c>
      <c r="O18" s="115">
        <f>E18*Labisoit!$C$80*J18</f>
        <v>397.02392592327254</v>
      </c>
    </row>
    <row r="19" spans="1:49" s="57" customFormat="1" ht="13.8" thickBot="1" x14ac:dyDescent="0.3">
      <c r="B19" s="60"/>
      <c r="C19" s="60"/>
      <c r="D19" s="52">
        <v>0.75</v>
      </c>
      <c r="E19" s="176" t="s">
        <v>87</v>
      </c>
      <c r="G19" s="61"/>
      <c r="H19" s="60"/>
      <c r="I19" s="135" t="s">
        <v>50</v>
      </c>
      <c r="J19" s="138"/>
      <c r="L19" s="60">
        <v>11547</v>
      </c>
      <c r="M19" s="58">
        <f>SUM(M11:M18)</f>
        <v>10936.649773285453</v>
      </c>
      <c r="N19" s="118">
        <f>SUM(N11:N18)</f>
        <v>5437.6717793408925</v>
      </c>
      <c r="O19" s="118">
        <f>SUM(O11:O18)</f>
        <v>4112.4831544460658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</row>
    <row r="20" spans="1:49" s="109" customFormat="1" ht="13.8" thickBot="1" x14ac:dyDescent="0.3">
      <c r="A20" s="110"/>
      <c r="B20" s="110"/>
      <c r="C20" s="110"/>
      <c r="D20" s="110"/>
      <c r="G20" s="111"/>
      <c r="H20" s="110"/>
      <c r="I20" s="136"/>
      <c r="J20" s="139"/>
      <c r="K20" s="112"/>
      <c r="L20" s="262" t="s">
        <v>101</v>
      </c>
      <c r="M20" s="263"/>
      <c r="N20" s="263"/>
      <c r="O20" s="124"/>
    </row>
    <row r="21" spans="1:49" s="108" customFormat="1" ht="13.8" thickBot="1" x14ac:dyDescent="0.3">
      <c r="A21" s="106" t="s">
        <v>102</v>
      </c>
      <c r="B21" s="107">
        <v>2010</v>
      </c>
      <c r="C21" s="107">
        <v>2020</v>
      </c>
      <c r="D21" s="107">
        <v>2030</v>
      </c>
      <c r="E21" s="108">
        <v>2050</v>
      </c>
      <c r="G21" s="106">
        <v>2010</v>
      </c>
      <c r="H21" s="107">
        <v>2020</v>
      </c>
      <c r="I21" s="114">
        <v>2030</v>
      </c>
      <c r="J21" s="137">
        <v>2050</v>
      </c>
      <c r="L21" s="107">
        <v>2011</v>
      </c>
      <c r="M21" s="107">
        <v>2020</v>
      </c>
      <c r="N21" s="114">
        <v>2030</v>
      </c>
      <c r="O21" s="123">
        <v>2050</v>
      </c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</row>
    <row r="22" spans="1:49" x14ac:dyDescent="0.25">
      <c r="A22" s="73" t="s">
        <v>57</v>
      </c>
      <c r="B22" s="73"/>
      <c r="C22" s="160">
        <v>3.3E-3</v>
      </c>
      <c r="D22" s="160">
        <v>2E-3</v>
      </c>
      <c r="E22" s="184">
        <f t="shared" ref="E22:E29" si="1">D22*$D$19</f>
        <v>1.5E-3</v>
      </c>
      <c r="G22" s="75"/>
      <c r="H22" s="74">
        <f t="shared" ref="H22:J29" si="2">H11</f>
        <v>0.71500000000000008</v>
      </c>
      <c r="I22" s="132">
        <f t="shared" si="2"/>
        <v>0.68</v>
      </c>
      <c r="J22" s="142">
        <f>J11</f>
        <v>0.58000000000000007</v>
      </c>
      <c r="K22" s="64"/>
      <c r="L22" s="73"/>
      <c r="M22" s="72">
        <f>C22*Labisoit!$H$7*H22</f>
        <v>18.794960553899191</v>
      </c>
      <c r="N22" s="115">
        <f>D22*Labisoit!$H$35*I22</f>
        <v>12.437918450259431</v>
      </c>
      <c r="O22" s="115">
        <f>E22*Labisoit!$H$64*J22</f>
        <v>8.7788682816047494</v>
      </c>
    </row>
    <row r="23" spans="1:49" x14ac:dyDescent="0.25">
      <c r="A23" s="67" t="s">
        <v>56</v>
      </c>
      <c r="B23" s="67"/>
      <c r="C23" s="160">
        <v>2.9000000000000001E-2</v>
      </c>
      <c r="D23" s="160">
        <v>1.4999999999999999E-2</v>
      </c>
      <c r="E23" s="184">
        <f t="shared" si="1"/>
        <v>1.125E-2</v>
      </c>
      <c r="G23" s="69"/>
      <c r="H23" s="68">
        <f t="shared" si="2"/>
        <v>0.28499999999999992</v>
      </c>
      <c r="I23" s="133">
        <f t="shared" si="2"/>
        <v>0.31</v>
      </c>
      <c r="J23" s="142">
        <f t="shared" si="2"/>
        <v>0.37</v>
      </c>
      <c r="K23" s="64"/>
      <c r="L23" s="67"/>
      <c r="M23" s="72">
        <f>C23*Labisoit!$H$7*H23</f>
        <v>65.836130102978075</v>
      </c>
      <c r="N23" s="115">
        <f>D23*Labisoit!$H$35*I23</f>
        <v>42.526706465960558</v>
      </c>
      <c r="O23" s="115">
        <f>E23*Labisoit!$H$64*J23</f>
        <v>42.002343933539954</v>
      </c>
    </row>
    <row r="24" spans="1:49" x14ac:dyDescent="0.25">
      <c r="A24" s="67" t="s">
        <v>55</v>
      </c>
      <c r="B24" s="67"/>
      <c r="C24" s="160">
        <v>0.17</v>
      </c>
      <c r="D24" s="160">
        <v>1.4999999999999999E-2</v>
      </c>
      <c r="E24" s="184">
        <f t="shared" si="1"/>
        <v>1.125E-2</v>
      </c>
      <c r="G24" s="69"/>
      <c r="H24" s="68">
        <f t="shared" si="2"/>
        <v>0.94500000000000006</v>
      </c>
      <c r="I24" s="133">
        <f t="shared" si="2"/>
        <v>0.84999999999999987</v>
      </c>
      <c r="J24" s="142">
        <f t="shared" si="2"/>
        <v>0.8</v>
      </c>
      <c r="K24" s="64"/>
      <c r="L24" s="67"/>
      <c r="M24" s="71">
        <f>C24*Labisoit!$H$8*'Ohusaaste (joonised)'!H24</f>
        <v>16.614666381789782</v>
      </c>
      <c r="N24" s="116">
        <f>D24*Labisoit!$H$36*'Ohusaaste (joonised)'!I24</f>
        <v>1.2536132049464399</v>
      </c>
      <c r="O24" s="115">
        <f>E24*Labisoit!$H$65*J24</f>
        <v>0.93079363483416133</v>
      </c>
    </row>
    <row r="25" spans="1:49" x14ac:dyDescent="0.25">
      <c r="A25" s="67" t="s">
        <v>54</v>
      </c>
      <c r="B25" s="67"/>
      <c r="C25" s="160">
        <v>8.0999999999999996E-3</v>
      </c>
      <c r="D25" s="160">
        <v>8.0999999999999996E-3</v>
      </c>
      <c r="E25" s="184">
        <f t="shared" si="1"/>
        <v>6.0749999999999997E-3</v>
      </c>
      <c r="G25" s="69"/>
      <c r="H25" s="68">
        <f t="shared" si="2"/>
        <v>5.4999999999999938E-2</v>
      </c>
      <c r="I25" s="133">
        <f t="shared" si="2"/>
        <v>0.1</v>
      </c>
      <c r="J25" s="142">
        <f t="shared" si="2"/>
        <v>0.1</v>
      </c>
      <c r="K25" s="64"/>
      <c r="L25" s="67"/>
      <c r="M25" s="71">
        <f>C25*Labisoit!$H$8*'Ohusaaste (joonised)'!H25</f>
        <v>4.6074284924290929E-2</v>
      </c>
      <c r="N25" s="116">
        <f>D25*Labisoit!$H$39*'Ohusaaste (joonised)'!I25</f>
        <v>1.4480238089220913E-2</v>
      </c>
      <c r="O25" s="115">
        <f>E25*Labisoit!$H$65*J25</f>
        <v>6.2828570351305887E-2</v>
      </c>
    </row>
    <row r="26" spans="1:49" x14ac:dyDescent="0.25">
      <c r="A26" s="67" t="s">
        <v>53</v>
      </c>
      <c r="B26" s="67"/>
      <c r="C26" s="160">
        <v>1.6E-2</v>
      </c>
      <c r="D26" s="237">
        <f>C26/3</f>
        <v>5.3333333333333332E-3</v>
      </c>
      <c r="E26" s="184">
        <f t="shared" si="1"/>
        <v>4.0000000000000001E-3</v>
      </c>
      <c r="G26" s="69"/>
      <c r="H26" s="68">
        <f t="shared" si="2"/>
        <v>0.98499999999999999</v>
      </c>
      <c r="I26" s="133">
        <f t="shared" si="2"/>
        <v>0.96</v>
      </c>
      <c r="J26" s="142">
        <f t="shared" si="2"/>
        <v>0.92999999999999994</v>
      </c>
      <c r="K26" s="64"/>
      <c r="L26" s="67"/>
      <c r="M26" s="71">
        <f>C26*Labisoit!$C$21*'Ohusaaste (joonised)'!H26</f>
        <v>113.33270188490813</v>
      </c>
      <c r="N26" s="116">
        <f>D26*Labisoit!$C$50*'Ohusaaste (joonised)'!I26</f>
        <v>45.699992375640669</v>
      </c>
      <c r="O26" s="115">
        <f>E26*Labisoit!$C$79*J26</f>
        <v>35.313665413592197</v>
      </c>
    </row>
    <row r="27" spans="1:49" x14ac:dyDescent="0.25">
      <c r="A27" s="67" t="s">
        <v>46</v>
      </c>
      <c r="B27" s="67"/>
      <c r="C27" s="160">
        <f>C26/20</f>
        <v>8.0000000000000004E-4</v>
      </c>
      <c r="D27" s="237">
        <f>C27/3</f>
        <v>2.6666666666666668E-4</v>
      </c>
      <c r="E27" s="184">
        <f t="shared" si="1"/>
        <v>2.0000000000000001E-4</v>
      </c>
      <c r="G27" s="69"/>
      <c r="H27" s="68">
        <f t="shared" si="2"/>
        <v>1.5000000000000013E-2</v>
      </c>
      <c r="I27" s="133">
        <f t="shared" si="2"/>
        <v>0.03</v>
      </c>
      <c r="J27" s="142">
        <f t="shared" si="2"/>
        <v>0.05</v>
      </c>
      <c r="K27" s="64"/>
      <c r="L27" s="67"/>
      <c r="M27" s="71">
        <f>C27*Labisoit!$C$21*'Ohusaaste (joonised)'!H27</f>
        <v>8.6293935445361611E-2</v>
      </c>
      <c r="N27" s="120">
        <f>D27*Labisoit!$C$50*'Ohusaaste (joonised)'!I27</f>
        <v>7.1406238086938564E-2</v>
      </c>
      <c r="O27" s="115">
        <f>E27*Labisoit!$C$79*J27</f>
        <v>9.4929208101054319E-2</v>
      </c>
    </row>
    <row r="28" spans="1:49" x14ac:dyDescent="0.25">
      <c r="A28" s="67" t="s">
        <v>52</v>
      </c>
      <c r="B28" s="67"/>
      <c r="C28" s="160">
        <v>2E-3</v>
      </c>
      <c r="D28" s="160">
        <v>2E-3</v>
      </c>
      <c r="E28" s="184">
        <f t="shared" si="1"/>
        <v>1.5E-3</v>
      </c>
      <c r="G28" s="69"/>
      <c r="H28" s="68">
        <f t="shared" si="2"/>
        <v>0.3</v>
      </c>
      <c r="I28" s="133">
        <f t="shared" si="2"/>
        <v>0.24999999999999997</v>
      </c>
      <c r="J28" s="142">
        <f t="shared" si="2"/>
        <v>9.9999999999999978E-2</v>
      </c>
      <c r="K28" s="64"/>
      <c r="L28" s="67"/>
      <c r="M28" s="91">
        <f>C28*Labisoit!$C$9*H28</f>
        <v>0.38658871975644926</v>
      </c>
      <c r="N28" s="91">
        <f>D28*Labisoit!$C$37*I28</f>
        <v>0.35753674294372617</v>
      </c>
      <c r="O28" s="115">
        <f>E28*Labisoit!$C$66*J28</f>
        <v>0.11758169395652386</v>
      </c>
    </row>
    <row r="29" spans="1:49" ht="13.8" thickBot="1" x14ac:dyDescent="0.3">
      <c r="A29" s="63" t="s">
        <v>51</v>
      </c>
      <c r="B29" s="63"/>
      <c r="C29" s="160">
        <v>1.2E-2</v>
      </c>
      <c r="D29" s="160">
        <v>1E-3</v>
      </c>
      <c r="E29" s="184">
        <f t="shared" si="1"/>
        <v>7.5000000000000002E-4</v>
      </c>
      <c r="G29" s="66"/>
      <c r="H29" s="68">
        <f t="shared" si="2"/>
        <v>1</v>
      </c>
      <c r="I29" s="133">
        <f t="shared" si="2"/>
        <v>1</v>
      </c>
      <c r="J29" s="142">
        <f t="shared" si="2"/>
        <v>0.7</v>
      </c>
      <c r="K29" s="64"/>
      <c r="L29" s="63"/>
      <c r="M29" s="62">
        <f>C29*Labisoit!$C$22*'Ohusaaste (joonised)'!H29</f>
        <v>79.655940411102932</v>
      </c>
      <c r="N29" s="117">
        <f>D29*Labisoit!$C$51*'Ohusaaste (joonised)'!I29</f>
        <v>6.733482977496398</v>
      </c>
      <c r="O29" s="115">
        <f>E29*Labisoit!$C$80*J29</f>
        <v>3.7596962682128079</v>
      </c>
    </row>
    <row r="30" spans="1:49" s="57" customFormat="1" ht="13.8" thickBot="1" x14ac:dyDescent="0.3">
      <c r="A30" s="90"/>
      <c r="G30" s="59"/>
      <c r="J30" s="140"/>
      <c r="L30" s="93">
        <v>499</v>
      </c>
      <c r="M30" s="58">
        <f>SUM(M22:M29)</f>
        <v>294.75335627480422</v>
      </c>
      <c r="N30" s="118">
        <f>SUM(N22:N29)</f>
        <v>109.09513669342337</v>
      </c>
      <c r="O30" s="118">
        <f>SUM(O22:O29)</f>
        <v>91.06070700419275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s="113" customFormat="1" ht="13.8" thickBot="1" x14ac:dyDescent="0.3">
      <c r="A31" s="110"/>
      <c r="B31" s="110"/>
      <c r="C31" s="110"/>
      <c r="D31" s="110"/>
      <c r="E31" s="109"/>
      <c r="F31" s="109"/>
      <c r="G31" s="111"/>
      <c r="H31" s="110"/>
      <c r="I31" s="136"/>
      <c r="J31" s="139"/>
      <c r="K31" s="112"/>
      <c r="L31" s="262" t="s">
        <v>84</v>
      </c>
      <c r="M31" s="263"/>
      <c r="N31" s="263"/>
      <c r="O31" s="12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</row>
    <row r="32" spans="1:49" s="113" customFormat="1" ht="13.8" thickBot="1" x14ac:dyDescent="0.3">
      <c r="A32" s="106" t="s">
        <v>83</v>
      </c>
      <c r="B32" s="107">
        <v>2010</v>
      </c>
      <c r="C32" s="158">
        <v>2020</v>
      </c>
      <c r="D32" s="158">
        <v>2030</v>
      </c>
      <c r="E32" s="108">
        <v>2050</v>
      </c>
      <c r="F32" s="108"/>
      <c r="G32" s="106">
        <v>2010</v>
      </c>
      <c r="H32" s="107">
        <v>2020</v>
      </c>
      <c r="I32" s="114">
        <v>2030</v>
      </c>
      <c r="J32" s="137">
        <v>2050</v>
      </c>
      <c r="K32" s="108"/>
      <c r="L32" s="107">
        <v>2011</v>
      </c>
      <c r="M32" s="107">
        <v>2020</v>
      </c>
      <c r="N32" s="114">
        <v>2030</v>
      </c>
      <c r="O32" s="123">
        <v>2050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</row>
    <row r="33" spans="1:49" s="89" customFormat="1" x14ac:dyDescent="0.25">
      <c r="A33" s="73" t="s">
        <v>57</v>
      </c>
      <c r="B33" s="73"/>
      <c r="C33" s="160">
        <v>9.3999999999999997E-4</v>
      </c>
      <c r="D33" s="160">
        <v>9.3999999999999997E-4</v>
      </c>
      <c r="E33" s="183">
        <f t="shared" ref="E33:E40" si="3">D33*$D$19</f>
        <v>7.0500000000000001E-4</v>
      </c>
      <c r="F33" s="52"/>
      <c r="G33" s="75"/>
      <c r="H33" s="74">
        <f t="shared" ref="H33:J40" si="4">H22</f>
        <v>0.71500000000000008</v>
      </c>
      <c r="I33" s="132">
        <f t="shared" si="4"/>
        <v>0.68</v>
      </c>
      <c r="J33" s="142">
        <f t="shared" si="4"/>
        <v>0.58000000000000007</v>
      </c>
      <c r="K33" s="64"/>
      <c r="L33" s="73"/>
      <c r="M33" s="72">
        <f>C33*Labisoit!$H$7*H33</f>
        <v>5.3537160365652241</v>
      </c>
      <c r="N33" s="115">
        <f>D33*Labisoit!$H$35*I33</f>
        <v>5.8458216716219322</v>
      </c>
      <c r="O33" s="115">
        <f>E33*Labisoit!$H$64*J33</f>
        <v>4.1260680923542319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</row>
    <row r="34" spans="1:49" s="89" customFormat="1" x14ac:dyDescent="0.25">
      <c r="A34" s="67" t="s">
        <v>56</v>
      </c>
      <c r="B34" s="67"/>
      <c r="C34" s="160">
        <v>1.1000000000000001E-3</v>
      </c>
      <c r="D34" s="160">
        <v>1E-3</v>
      </c>
      <c r="E34" s="183">
        <f t="shared" si="3"/>
        <v>7.5000000000000002E-4</v>
      </c>
      <c r="F34" s="52"/>
      <c r="G34" s="69"/>
      <c r="H34" s="68">
        <f t="shared" si="4"/>
        <v>0.28499999999999992</v>
      </c>
      <c r="I34" s="133">
        <f t="shared" si="4"/>
        <v>0.31</v>
      </c>
      <c r="J34" s="142">
        <f t="shared" si="4"/>
        <v>0.37</v>
      </c>
      <c r="K34" s="64"/>
      <c r="L34" s="67"/>
      <c r="M34" s="72">
        <f>C34*Labisoit!$H$7*H34</f>
        <v>2.4972325211474442</v>
      </c>
      <c r="N34" s="115">
        <f>D34*Labisoit!$H$35*I34</f>
        <v>2.8351137643973705</v>
      </c>
      <c r="O34" s="115">
        <f>E34*Labisoit!$H$64*J34</f>
        <v>2.8001562622359972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1:49" s="89" customFormat="1" x14ac:dyDescent="0.25">
      <c r="A35" s="67" t="s">
        <v>55</v>
      </c>
      <c r="B35" s="67"/>
      <c r="C35" s="160">
        <v>5.7000000000000002E-3</v>
      </c>
      <c r="D35" s="160">
        <v>5.7000000000000002E-3</v>
      </c>
      <c r="E35" s="183">
        <f t="shared" si="3"/>
        <v>4.2750000000000002E-3</v>
      </c>
      <c r="F35" s="52"/>
      <c r="G35" s="69"/>
      <c r="H35" s="68">
        <f t="shared" si="4"/>
        <v>0.94500000000000006</v>
      </c>
      <c r="I35" s="133">
        <f t="shared" si="4"/>
        <v>0.84999999999999987</v>
      </c>
      <c r="J35" s="142">
        <f t="shared" si="4"/>
        <v>0.8</v>
      </c>
      <c r="K35" s="64"/>
      <c r="L35" s="67"/>
      <c r="M35" s="71">
        <f>C35*Labisoit!$H$8*'Ohusaaste (joonised)'!H35</f>
        <v>0.55707999044824563</v>
      </c>
      <c r="N35" s="116">
        <f>D35*Labisoit!$H$39*'Ohusaaste (joonised)'!I35</f>
        <v>8.6613275978117674E-2</v>
      </c>
      <c r="O35" s="115">
        <f>E35*Labisoit!$H$65*J35</f>
        <v>0.35370158123698131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</row>
    <row r="36" spans="1:49" s="89" customFormat="1" x14ac:dyDescent="0.25">
      <c r="A36" s="67" t="s">
        <v>54</v>
      </c>
      <c r="B36" s="67"/>
      <c r="C36" s="160">
        <v>3.5E-4</v>
      </c>
      <c r="D36" s="160">
        <v>3.5E-4</v>
      </c>
      <c r="E36" s="183">
        <f t="shared" si="3"/>
        <v>2.6249999999999998E-4</v>
      </c>
      <c r="F36" s="52"/>
      <c r="G36" s="69"/>
      <c r="H36" s="68">
        <f t="shared" si="4"/>
        <v>5.4999999999999938E-2</v>
      </c>
      <c r="I36" s="133">
        <f t="shared" si="4"/>
        <v>0.1</v>
      </c>
      <c r="J36" s="142">
        <f t="shared" si="4"/>
        <v>0.1</v>
      </c>
      <c r="K36" s="64"/>
      <c r="L36" s="67"/>
      <c r="M36" s="71">
        <f>C36*Labisoit!$H$8*'Ohusaaste (joonised)'!H36</f>
        <v>1.9908641633952875E-3</v>
      </c>
      <c r="N36" s="116">
        <f>D36*Labisoit!$H$39*'Ohusaaste (joonised)'!I36</f>
        <v>6.2568930015152084E-4</v>
      </c>
      <c r="O36" s="115">
        <f>E36*Labisoit!$H$65*J36</f>
        <v>2.7148147682663042E-3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</row>
    <row r="37" spans="1:49" s="89" customFormat="1" x14ac:dyDescent="0.25">
      <c r="A37" s="67" t="s">
        <v>53</v>
      </c>
      <c r="B37" s="67"/>
      <c r="C37" s="160">
        <v>7.5000000000000002E-4</v>
      </c>
      <c r="D37" s="160">
        <v>7.3999999999999999E-4</v>
      </c>
      <c r="E37" s="183">
        <f t="shared" si="3"/>
        <v>5.5499999999999994E-4</v>
      </c>
      <c r="F37" s="52"/>
      <c r="G37" s="69"/>
      <c r="H37" s="68">
        <f t="shared" si="4"/>
        <v>0.98499999999999999</v>
      </c>
      <c r="I37" s="133">
        <f t="shared" si="4"/>
        <v>0.96</v>
      </c>
      <c r="J37" s="142">
        <f t="shared" si="4"/>
        <v>0.92999999999999994</v>
      </c>
      <c r="K37" s="64"/>
      <c r="L37" s="67"/>
      <c r="M37" s="71">
        <f>C37*Labisoit!$C$21*'Ohusaaste (joonised)'!H37</f>
        <v>5.3124704008550685</v>
      </c>
      <c r="N37" s="116">
        <f>D37*Labisoit!$C$50*'Ohusaaste (joonised)'!I37</f>
        <v>6.340873942120143</v>
      </c>
      <c r="O37" s="115">
        <f>E37*Labisoit!$C$79*J37</f>
        <v>4.8997710761359174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s="89" customFormat="1" x14ac:dyDescent="0.25">
      <c r="A38" s="67" t="s">
        <v>46</v>
      </c>
      <c r="B38" s="67"/>
      <c r="C38" s="160">
        <v>4.5000000000000003E-5</v>
      </c>
      <c r="D38" s="160">
        <v>4.5000000000000003E-5</v>
      </c>
      <c r="E38" s="183">
        <f t="shared" si="3"/>
        <v>3.375E-5</v>
      </c>
      <c r="F38" s="52"/>
      <c r="G38" s="69"/>
      <c r="H38" s="68">
        <f t="shared" si="4"/>
        <v>1.5000000000000013E-2</v>
      </c>
      <c r="I38" s="133">
        <f t="shared" si="4"/>
        <v>0.03</v>
      </c>
      <c r="J38" s="142">
        <f t="shared" si="4"/>
        <v>0.05</v>
      </c>
      <c r="K38" s="64"/>
      <c r="L38" s="67"/>
      <c r="M38" s="71">
        <f>C38*Labisoit!$C$21*'Ohusaaste (joonised)'!H38</f>
        <v>4.8540338688015904E-3</v>
      </c>
      <c r="N38" s="120">
        <f>D38*Labisoit!$C$50*'Ohusaaste (joonised)'!I38</f>
        <v>1.2049802677170882E-2</v>
      </c>
      <c r="O38" s="115">
        <f>E38*Labisoit!$C$79*J38</f>
        <v>1.6019303867052914E-2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</row>
    <row r="39" spans="1:49" s="89" customFormat="1" x14ac:dyDescent="0.25">
      <c r="A39" s="67" t="s">
        <v>52</v>
      </c>
      <c r="B39" s="67"/>
      <c r="C39" s="160">
        <v>4.8000000000000001E-4</v>
      </c>
      <c r="D39" s="160">
        <v>4.8000000000000001E-4</v>
      </c>
      <c r="E39" s="183">
        <f t="shared" si="3"/>
        <v>3.6000000000000002E-4</v>
      </c>
      <c r="F39" s="52"/>
      <c r="G39" s="69"/>
      <c r="H39" s="68">
        <f t="shared" si="4"/>
        <v>0.3</v>
      </c>
      <c r="I39" s="133">
        <f t="shared" si="4"/>
        <v>0.24999999999999997</v>
      </c>
      <c r="J39" s="142">
        <f t="shared" si="4"/>
        <v>9.9999999999999978E-2</v>
      </c>
      <c r="K39" s="64"/>
      <c r="L39" s="67"/>
      <c r="M39" s="91">
        <f>C39*Labisoit!$C$9*H39</f>
        <v>9.2781292741547824E-2</v>
      </c>
      <c r="N39" s="91">
        <f>D39*Labisoit!$C$37*I39</f>
        <v>8.5808818306494283E-2</v>
      </c>
      <c r="O39" s="115">
        <f>E39*Labisoit!$C$66*J39</f>
        <v>2.8219606549565728E-2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</row>
    <row r="40" spans="1:49" s="89" customFormat="1" ht="13.8" thickBot="1" x14ac:dyDescent="0.3">
      <c r="A40" s="63" t="s">
        <v>51</v>
      </c>
      <c r="B40" s="63"/>
      <c r="C40" s="160">
        <v>1.7000000000000001E-4</v>
      </c>
      <c r="D40" s="160">
        <v>1.7000000000000001E-4</v>
      </c>
      <c r="E40" s="183">
        <f t="shared" si="3"/>
        <v>1.2750000000000001E-4</v>
      </c>
      <c r="F40" s="52"/>
      <c r="G40" s="66"/>
      <c r="H40" s="68">
        <f t="shared" si="4"/>
        <v>1</v>
      </c>
      <c r="I40" s="133">
        <f t="shared" si="4"/>
        <v>1</v>
      </c>
      <c r="J40" s="142">
        <f t="shared" si="4"/>
        <v>0.7</v>
      </c>
      <c r="K40" s="64"/>
      <c r="L40" s="63"/>
      <c r="M40" s="62">
        <f>C40*Labisoit!$C$22*'Ohusaaste (joonised)'!H40</f>
        <v>1.1284591558239583</v>
      </c>
      <c r="N40" s="117">
        <f>D40*Labisoit!$C$51*'Ohusaaste (joonised)'!I40</f>
        <v>1.1446921061743878</v>
      </c>
      <c r="O40" s="115">
        <f>E40*Labisoit!$C$80*J40</f>
        <v>0.63914836559617738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</row>
    <row r="41" spans="1:49" s="89" customFormat="1" ht="13.8" thickBot="1" x14ac:dyDescent="0.3">
      <c r="B41" s="57"/>
      <c r="C41" s="159"/>
      <c r="D41" s="159"/>
      <c r="E41" s="159"/>
      <c r="F41" s="57"/>
      <c r="G41" s="59"/>
      <c r="H41" s="57"/>
      <c r="I41" s="135" t="s">
        <v>50</v>
      </c>
      <c r="J41" s="138"/>
      <c r="K41" s="57"/>
      <c r="L41" s="57">
        <v>76</v>
      </c>
      <c r="M41" s="58">
        <f>SUM(M33:M40)</f>
        <v>14.948584295613685</v>
      </c>
      <c r="N41" s="118">
        <f>SUM(N33:N40)</f>
        <v>16.351599070575769</v>
      </c>
      <c r="O41" s="118">
        <f>SUM(O33:O40)</f>
        <v>12.865799102744189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1:49" s="113" customFormat="1" ht="13.8" thickBot="1" x14ac:dyDescent="0.3">
      <c r="A42" s="110"/>
      <c r="B42" s="110"/>
      <c r="C42" s="110"/>
      <c r="D42" s="110"/>
      <c r="E42" s="109"/>
      <c r="F42" s="109"/>
      <c r="G42" s="111"/>
      <c r="H42" s="110"/>
      <c r="I42" s="136"/>
      <c r="J42" s="139"/>
      <c r="K42" s="112"/>
      <c r="L42" s="262" t="s">
        <v>86</v>
      </c>
      <c r="M42" s="263"/>
      <c r="N42" s="263"/>
      <c r="O42" s="124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</row>
    <row r="43" spans="1:49" s="113" customFormat="1" ht="13.8" thickBot="1" x14ac:dyDescent="0.3">
      <c r="A43" s="106" t="s">
        <v>85</v>
      </c>
      <c r="B43" s="107">
        <v>2010</v>
      </c>
      <c r="C43" s="158">
        <v>2020</v>
      </c>
      <c r="D43" s="158">
        <v>2030</v>
      </c>
      <c r="E43" s="108">
        <v>2050</v>
      </c>
      <c r="F43" s="108"/>
      <c r="G43" s="106">
        <v>2010</v>
      </c>
      <c r="H43" s="107">
        <v>2020</v>
      </c>
      <c r="I43" s="114">
        <v>2030</v>
      </c>
      <c r="J43" s="137">
        <v>2050</v>
      </c>
      <c r="K43" s="108"/>
      <c r="L43" s="107">
        <v>2011</v>
      </c>
      <c r="M43" s="107">
        <v>2020</v>
      </c>
      <c r="N43" s="114">
        <v>2030</v>
      </c>
      <c r="O43" s="123">
        <v>2050</v>
      </c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</row>
    <row r="44" spans="1:49" s="89" customFormat="1" x14ac:dyDescent="0.25">
      <c r="A44" s="73" t="s">
        <v>57</v>
      </c>
      <c r="B44" s="73"/>
      <c r="C44" s="67">
        <v>0.17</v>
      </c>
      <c r="D44" s="67">
        <v>1.2999999999999999E-2</v>
      </c>
      <c r="E44" s="182">
        <f t="shared" ref="E44:E51" si="5">D44*$D$19</f>
        <v>9.75E-3</v>
      </c>
      <c r="F44" s="52"/>
      <c r="G44" s="75"/>
      <c r="H44" s="74">
        <f t="shared" ref="H44:I51" si="6">H33</f>
        <v>0.71500000000000008</v>
      </c>
      <c r="I44" s="132">
        <f t="shared" si="6"/>
        <v>0.68</v>
      </c>
      <c r="J44" s="142">
        <f>[7]TransportB_EE!$E$56+[7]TransportB_EE!$G$56+[7]TransportB_EE!$H$56+[7]TransportB_EE!$L$56</f>
        <v>0.58000000000000007</v>
      </c>
      <c r="K44" s="64"/>
      <c r="L44" s="73"/>
      <c r="M44" s="72">
        <f>C44*Labisoit!$H$7*H44</f>
        <v>968.2252406554129</v>
      </c>
      <c r="N44" s="115">
        <f>D44*Labisoit!$H$35*I44</f>
        <v>80.846469926686311</v>
      </c>
      <c r="O44" s="115">
        <f>E44*Labisoit!$H$64*J44</f>
        <v>57.062643830430865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</row>
    <row r="45" spans="1:49" s="89" customFormat="1" x14ac:dyDescent="0.25">
      <c r="A45" s="67" t="s">
        <v>56</v>
      </c>
      <c r="B45" s="67"/>
      <c r="C45" s="67">
        <v>0.17</v>
      </c>
      <c r="D45" s="67">
        <v>0.11</v>
      </c>
      <c r="E45" s="182">
        <f t="shared" si="5"/>
        <v>8.2500000000000004E-2</v>
      </c>
      <c r="F45" s="52"/>
      <c r="G45" s="69"/>
      <c r="H45" s="68">
        <f t="shared" si="6"/>
        <v>0.28499999999999992</v>
      </c>
      <c r="I45" s="133">
        <f t="shared" si="6"/>
        <v>0.31</v>
      </c>
      <c r="J45" s="142">
        <f>[7]TransportB_EE!$F$56+[7]TransportB_EE!$J$56</f>
        <v>0.37</v>
      </c>
      <c r="K45" s="64"/>
      <c r="L45" s="67"/>
      <c r="M45" s="72">
        <f>C45*Labisoit!$H$7*H45</f>
        <v>385.93593508642317</v>
      </c>
      <c r="N45" s="115">
        <f>D45*Labisoit!$H$35*I45</f>
        <v>311.86251408371072</v>
      </c>
      <c r="O45" s="115">
        <f>E45*Labisoit!$H$64*J45</f>
        <v>308.01718884595971</v>
      </c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</row>
    <row r="46" spans="1:49" s="89" customFormat="1" x14ac:dyDescent="0.25">
      <c r="A46" s="67" t="s">
        <v>55</v>
      </c>
      <c r="B46" s="67"/>
      <c r="C46" s="67">
        <v>0.13</v>
      </c>
      <c r="D46" s="67">
        <v>5.8000000000000003E-2</v>
      </c>
      <c r="E46" s="182">
        <f t="shared" si="5"/>
        <v>4.3500000000000004E-2</v>
      </c>
      <c r="F46" s="52"/>
      <c r="G46" s="69"/>
      <c r="H46" s="68">
        <f t="shared" si="6"/>
        <v>0.94500000000000006</v>
      </c>
      <c r="I46" s="133">
        <f t="shared" si="6"/>
        <v>0.84999999999999987</v>
      </c>
      <c r="J46" s="143">
        <f>[7]TransportB_EE!$F$57+[7]TransportB_EE!$J$57</f>
        <v>0.8</v>
      </c>
      <c r="K46" s="64"/>
      <c r="L46" s="67"/>
      <c r="M46" s="71">
        <f>C46*Labisoit!$H$8*'Ohusaaste (joonised)'!H46</f>
        <v>12.705333115486305</v>
      </c>
      <c r="N46" s="116">
        <f>D46*Labisoit!$H$39*'Ohusaaste (joonised)'!I46</f>
        <v>0.88132807135628499</v>
      </c>
      <c r="O46" s="115">
        <f>E46*Labisoit!$H$65*J46</f>
        <v>3.599068721358758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</row>
    <row r="47" spans="1:49" s="89" customFormat="1" x14ac:dyDescent="0.25">
      <c r="A47" s="67" t="s">
        <v>54</v>
      </c>
      <c r="B47" s="67"/>
      <c r="C47" s="67">
        <v>0.81</v>
      </c>
      <c r="D47" s="67">
        <v>0.4</v>
      </c>
      <c r="E47" s="182">
        <f t="shared" si="5"/>
        <v>0.30000000000000004</v>
      </c>
      <c r="F47" s="52"/>
      <c r="G47" s="69"/>
      <c r="H47" s="68">
        <f t="shared" si="6"/>
        <v>5.4999999999999938E-2</v>
      </c>
      <c r="I47" s="68">
        <f t="shared" si="6"/>
        <v>0.1</v>
      </c>
      <c r="J47" s="68">
        <f>[7]TransportB_EE!$L$57</f>
        <v>0</v>
      </c>
      <c r="K47" s="64"/>
      <c r="L47" s="67"/>
      <c r="M47" s="71">
        <f>C47*Labisoit!$H$8*'Ohusaaste (joonised)'!H47</f>
        <v>4.6074284924290936</v>
      </c>
      <c r="N47" s="116">
        <f>D47*Labisoit!$H$39*'Ohusaaste (joonised)'!I47</f>
        <v>0.71507348588745256</v>
      </c>
      <c r="O47" s="115">
        <f>E47*Labisoit!$H$65*J47</f>
        <v>0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</row>
    <row r="48" spans="1:49" s="89" customFormat="1" x14ac:dyDescent="0.25">
      <c r="A48" s="67" t="s">
        <v>53</v>
      </c>
      <c r="B48" s="67"/>
      <c r="C48" s="67">
        <v>4.2000000000000003E-2</v>
      </c>
      <c r="D48" s="67">
        <v>2.2000000000000001E-3</v>
      </c>
      <c r="E48" s="182">
        <f t="shared" si="5"/>
        <v>1.65E-3</v>
      </c>
      <c r="F48" s="52"/>
      <c r="G48" s="69"/>
      <c r="H48" s="68">
        <f t="shared" si="6"/>
        <v>0.98499999999999999</v>
      </c>
      <c r="I48" s="68">
        <f t="shared" si="6"/>
        <v>0.96</v>
      </c>
      <c r="J48" s="68">
        <f>[7]TransportB_EE!$F$63+[7]TransportB_EE!$J$63</f>
        <v>0.92999999999999994</v>
      </c>
      <c r="K48" s="64"/>
      <c r="L48" s="67"/>
      <c r="M48" s="71">
        <f>C48*Labisoit!$C$21*'Ohusaaste (joonised)'!H48</f>
        <v>297.49834244788389</v>
      </c>
      <c r="N48" s="116">
        <f>D48*Labisoit!$C$50*'Ohusaaste (joonised)'!I48</f>
        <v>18.851246854951778</v>
      </c>
      <c r="O48" s="115">
        <f>E48*Labisoit!$C$79*J48</f>
        <v>14.566886983106782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</row>
    <row r="49" spans="1:49" s="89" customFormat="1" x14ac:dyDescent="0.25">
      <c r="A49" s="67" t="s">
        <v>46</v>
      </c>
      <c r="B49" s="67"/>
      <c r="C49" s="67">
        <f>C48*6</f>
        <v>0.252</v>
      </c>
      <c r="D49" s="67">
        <f>C49/2</f>
        <v>0.126</v>
      </c>
      <c r="E49" s="182">
        <f t="shared" si="5"/>
        <v>9.4500000000000001E-2</v>
      </c>
      <c r="F49" s="52"/>
      <c r="G49" s="69"/>
      <c r="H49" s="68">
        <f t="shared" si="6"/>
        <v>1.5000000000000013E-2</v>
      </c>
      <c r="I49" s="68">
        <f t="shared" si="6"/>
        <v>0.03</v>
      </c>
      <c r="J49" s="68">
        <f>[7]TransportB_EE!$L$63</f>
        <v>0</v>
      </c>
      <c r="K49" s="64"/>
      <c r="L49" s="67"/>
      <c r="M49" s="71">
        <f>C49*Labisoit!$C$21*'Ohusaaste (joonised)'!H49</f>
        <v>27.182589665288905</v>
      </c>
      <c r="N49" s="120">
        <f>D49*Labisoit!$C$50*'Ohusaaste (joonised)'!I49</f>
        <v>33.739447496078462</v>
      </c>
      <c r="O49" s="115">
        <f>E49*Labisoit!$C$79*J49</f>
        <v>0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</row>
    <row r="50" spans="1:49" s="89" customFormat="1" x14ac:dyDescent="0.25">
      <c r="A50" s="67" t="s">
        <v>52</v>
      </c>
      <c r="B50" s="67"/>
      <c r="C50" s="67">
        <v>7.1999999999999998E-3</v>
      </c>
      <c r="D50" s="67">
        <v>7.1999999999999998E-3</v>
      </c>
      <c r="E50" s="182">
        <f t="shared" si="5"/>
        <v>5.4000000000000003E-3</v>
      </c>
      <c r="F50" s="52"/>
      <c r="G50" s="69"/>
      <c r="H50" s="68">
        <f t="shared" si="6"/>
        <v>0.3</v>
      </c>
      <c r="I50" s="68">
        <f t="shared" si="6"/>
        <v>0.24999999999999997</v>
      </c>
      <c r="J50" s="146">
        <f>[7]TransportB_EE!$F$58</f>
        <v>9.9999999999999978E-2</v>
      </c>
      <c r="K50" s="64"/>
      <c r="L50" s="67"/>
      <c r="M50" s="91">
        <f>C50*Labisoit!$C$9*H50</f>
        <v>1.3917193911232173</v>
      </c>
      <c r="N50" s="91">
        <f>D50*Labisoit!$C$37*I50</f>
        <v>1.2871322745974141</v>
      </c>
      <c r="O50" s="115">
        <f>E50*Labisoit!$C$66*J50</f>
        <v>0.42329409824348591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</row>
    <row r="51" spans="1:49" s="89" customFormat="1" ht="13.8" thickBot="1" x14ac:dyDescent="0.3">
      <c r="A51" s="63" t="s">
        <v>51</v>
      </c>
      <c r="B51" s="63"/>
      <c r="C51" s="67">
        <v>3.6999999999999998E-2</v>
      </c>
      <c r="D51" s="67">
        <v>3.6999999999999998E-2</v>
      </c>
      <c r="E51" s="182">
        <f t="shared" si="5"/>
        <v>2.7749999999999997E-2</v>
      </c>
      <c r="F51" s="52"/>
      <c r="G51" s="66"/>
      <c r="H51" s="68">
        <f t="shared" si="6"/>
        <v>1</v>
      </c>
      <c r="I51" s="133">
        <f t="shared" si="6"/>
        <v>1</v>
      </c>
      <c r="J51" s="144">
        <f>[7]TransportB_EE!$F$64</f>
        <v>0.7</v>
      </c>
      <c r="K51" s="64"/>
      <c r="L51" s="63"/>
      <c r="M51" s="62">
        <f>C51*Labisoit!$C$22*'Ohusaaste (joonised)'!H51</f>
        <v>245.60581626756738</v>
      </c>
      <c r="N51" s="117">
        <f>D51*Labisoit!$C$51*'Ohusaaste (joonised)'!I51</f>
        <v>249.13887016736672</v>
      </c>
      <c r="O51" s="115">
        <f>E51*Labisoit!$C$80*J51</f>
        <v>139.10876192387389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</row>
    <row r="52" spans="1:49" s="89" customFormat="1" ht="13.8" thickBot="1" x14ac:dyDescent="0.3">
      <c r="B52" s="57"/>
      <c r="C52" s="159"/>
      <c r="D52" s="159"/>
      <c r="E52" s="57"/>
      <c r="F52" s="57"/>
      <c r="G52" s="59"/>
      <c r="H52" s="57"/>
      <c r="I52" s="135" t="s">
        <v>50</v>
      </c>
      <c r="J52" s="141"/>
      <c r="K52" s="57"/>
      <c r="L52" s="57">
        <v>2578</v>
      </c>
      <c r="M52" s="58">
        <f>SUM(M44:M51)</f>
        <v>1943.1524051216152</v>
      </c>
      <c r="N52" s="118">
        <f>SUM(N44:N51)</f>
        <v>697.32208236063514</v>
      </c>
      <c r="O52" s="118">
        <f>SUM(O44:O51)</f>
        <v>522.77784440297353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</row>
    <row r="53" spans="1:49" s="89" customFormat="1" x14ac:dyDescent="0.25">
      <c r="G53" s="80"/>
      <c r="I53" s="207"/>
      <c r="J53" s="208"/>
      <c r="M53" s="105"/>
      <c r="N53" s="105"/>
      <c r="O53" s="105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</row>
    <row r="54" spans="1:49" s="202" customFormat="1" ht="13.8" thickBot="1" x14ac:dyDescent="0.3">
      <c r="A54" s="161"/>
      <c r="G54" s="203"/>
      <c r="J54" s="204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</row>
    <row r="55" spans="1:49" s="46" customFormat="1" x14ac:dyDescent="0.25">
      <c r="A55" s="150" t="s">
        <v>24</v>
      </c>
      <c r="G55" s="150" t="s">
        <v>24</v>
      </c>
      <c r="H55" s="43"/>
      <c r="I55" s="43"/>
      <c r="J55" s="151"/>
      <c r="K55" s="152"/>
      <c r="L55" s="152" t="s">
        <v>49</v>
      </c>
      <c r="M55" s="43"/>
      <c r="N55" s="151"/>
      <c r="O55" s="30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 ht="13.8" thickBot="1" x14ac:dyDescent="0.3">
      <c r="G56" s="80" t="s">
        <v>48</v>
      </c>
      <c r="H56" s="64"/>
      <c r="I56" s="64"/>
      <c r="J56" s="126"/>
      <c r="K56" s="64"/>
      <c r="L56" s="267" t="s">
        <v>47</v>
      </c>
      <c r="M56" s="267"/>
      <c r="N56" s="268"/>
      <c r="O56" s="207"/>
    </row>
    <row r="57" spans="1:49" s="189" customFormat="1" ht="13.8" thickBot="1" x14ac:dyDescent="0.3">
      <c r="A57" s="188" t="str">
        <f t="shared" ref="A57:E65" si="7">A10</f>
        <v xml:space="preserve">NOx </v>
      </c>
      <c r="B57" s="188">
        <f t="shared" si="7"/>
        <v>2010</v>
      </c>
      <c r="C57" s="188">
        <f t="shared" si="7"/>
        <v>2020</v>
      </c>
      <c r="D57" s="188">
        <f t="shared" si="7"/>
        <v>2030</v>
      </c>
      <c r="E57" s="108">
        <v>2050</v>
      </c>
      <c r="G57" s="190">
        <v>2010</v>
      </c>
      <c r="H57" s="191">
        <v>2020</v>
      </c>
      <c r="I57" s="191">
        <v>2030</v>
      </c>
      <c r="J57" s="127">
        <v>2050</v>
      </c>
      <c r="K57" s="149"/>
      <c r="L57" s="191">
        <v>2010</v>
      </c>
      <c r="M57" s="191">
        <v>2020</v>
      </c>
      <c r="N57" s="192">
        <v>2030</v>
      </c>
      <c r="O57" s="125">
        <v>2050</v>
      </c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</row>
    <row r="58" spans="1:49" x14ac:dyDescent="0.25">
      <c r="A58" s="85" t="str">
        <f t="shared" si="7"/>
        <v>Sõiduauto, bensiin, gaas, etanool - sõiduki-km</v>
      </c>
      <c r="B58" s="85">
        <f t="shared" si="7"/>
        <v>0</v>
      </c>
      <c r="C58" s="85">
        <f t="shared" si="7"/>
        <v>0.33</v>
      </c>
      <c r="D58" s="85">
        <f t="shared" si="7"/>
        <v>0.12666666666666668</v>
      </c>
      <c r="E58" s="178">
        <f t="shared" si="7"/>
        <v>9.5000000000000001E-2</v>
      </c>
      <c r="G58" s="69"/>
      <c r="H58" s="74">
        <f>[2]TransportB_VS!$S$56+[2]TransportB_VS!$U$56+[2]TransportB_VS!$V$56+[2]TransportB_VS!$Z$56</f>
        <v>0.72</v>
      </c>
      <c r="I58" s="78">
        <f>[6]Transport30B_VS!$S$56+[6]Transport30B_VS!$U$56+[6]Transport30B_VS!$V$56+[6]Transport30B_VS!$Z$56</f>
        <v>0.69000000000000006</v>
      </c>
      <c r="J58" s="142">
        <f>[7]Transport50VS!$S$56+[7]Transport50VS!$U$56+[7]Transport50VS!$V$56</f>
        <v>0.44999999999999996</v>
      </c>
      <c r="K58" s="64"/>
      <c r="L58" s="73"/>
      <c r="M58" s="72">
        <f>C58*Labisoit!$J$7*H58</f>
        <v>1696.0375218139536</v>
      </c>
      <c r="N58" s="115">
        <f>D58*Labisoit!$J$35*I58</f>
        <v>714.97324048379869</v>
      </c>
      <c r="O58" s="185">
        <f>E58*Labisoit!$J$64*J58</f>
        <v>402.79347896562405</v>
      </c>
    </row>
    <row r="59" spans="1:49" x14ac:dyDescent="0.25">
      <c r="A59" s="85" t="str">
        <f t="shared" si="7"/>
        <v>Sõiduauto, diisel, biodiisel</v>
      </c>
      <c r="B59" s="85">
        <f t="shared" si="7"/>
        <v>0</v>
      </c>
      <c r="C59" s="85">
        <f t="shared" si="7"/>
        <v>0.53</v>
      </c>
      <c r="D59" s="85">
        <f t="shared" si="7"/>
        <v>0.2</v>
      </c>
      <c r="E59" s="178">
        <f t="shared" si="7"/>
        <v>0.15000000000000002</v>
      </c>
      <c r="G59" s="69"/>
      <c r="H59" s="74">
        <f>[2]TransportB_VS!$T$56</f>
        <v>0.27850000000000008</v>
      </c>
      <c r="I59" s="173">
        <f>[6]Transport30B_VS!$T$56</f>
        <v>0.29500000000000004</v>
      </c>
      <c r="J59" s="174">
        <f>[7]Transport50VS!$T$56+[7]Transport50VS!$X$56</f>
        <v>0.35000000000000003</v>
      </c>
      <c r="K59" s="64"/>
      <c r="L59" s="67"/>
      <c r="M59" s="72">
        <f>C59*Labisoit!$J$7*H59</f>
        <v>1053.6347576066864</v>
      </c>
      <c r="N59" s="172">
        <f>D59*Labisoit!$J$35*I59</f>
        <v>482.64783968585954</v>
      </c>
      <c r="O59" s="187">
        <f>E59*Labisoit!$J$64*J59</f>
        <v>494.65865837883666</v>
      </c>
    </row>
    <row r="60" spans="1:49" x14ac:dyDescent="0.25">
      <c r="A60" s="85" t="str">
        <f t="shared" si="7"/>
        <v>Buss, diisel, biodiisel - sõiduki-km</v>
      </c>
      <c r="B60" s="85">
        <f t="shared" si="7"/>
        <v>0</v>
      </c>
      <c r="C60" s="85">
        <f t="shared" si="7"/>
        <v>7.1</v>
      </c>
      <c r="D60" s="85">
        <f t="shared" si="7"/>
        <v>3.55</v>
      </c>
      <c r="E60" s="178">
        <f t="shared" si="7"/>
        <v>2.6624999999999996</v>
      </c>
      <c r="G60" s="69"/>
      <c r="H60" s="78">
        <f>[2]TransportB_VS!$T$57</f>
        <v>0.78700000000000003</v>
      </c>
      <c r="I60" s="78">
        <f>[6]Transport30B_VS!$T$57</f>
        <v>0.48000000000000009</v>
      </c>
      <c r="J60" s="142">
        <f>[7]Transport50VS!$T$57+[7]Transport50VS!$X$57</f>
        <v>0.15000000000000002</v>
      </c>
      <c r="K60" s="64"/>
      <c r="L60" s="67"/>
      <c r="M60" s="71">
        <f>C60*Labisoit!$J$8*'Ohusaaste (joonised)'!H60</f>
        <v>542.05768101759998</v>
      </c>
      <c r="N60" s="116">
        <f>D60*Labisoit!$J$36*'Ohusaaste (joonised)'!I60</f>
        <v>159.16463185625864</v>
      </c>
      <c r="O60" s="185">
        <f>E60*Labisoit!$J$65*J60</f>
        <v>37.176024643910331</v>
      </c>
    </row>
    <row r="61" spans="1:49" x14ac:dyDescent="0.25">
      <c r="A61" s="85" t="str">
        <f t="shared" si="7"/>
        <v>Buss, gaas</v>
      </c>
      <c r="B61" s="85">
        <f t="shared" si="7"/>
        <v>0</v>
      </c>
      <c r="C61" s="85">
        <f t="shared" si="7"/>
        <v>2.1</v>
      </c>
      <c r="D61" s="85">
        <f t="shared" si="7"/>
        <v>0.7</v>
      </c>
      <c r="E61" s="178">
        <f t="shared" si="7"/>
        <v>0.52499999999999991</v>
      </c>
      <c r="G61" s="69"/>
      <c r="H61" s="78">
        <f>[2]TransportB_VS!$U$57+[2]TransportB_VS!$Z$57</f>
        <v>0.2</v>
      </c>
      <c r="I61" s="78">
        <f>[6]Transport30B_VS!$U$57+[6]Transport30B_VS!$Z$57</f>
        <v>0.39999999999999997</v>
      </c>
      <c r="J61" s="142">
        <f>[7]Transport50VS!$U$57+[7]Transport50VS!$Z$57</f>
        <v>0.6</v>
      </c>
      <c r="K61" s="64"/>
      <c r="L61" s="67"/>
      <c r="M61" s="71">
        <f>C61*Labisoit!$J$8*'Ohusaaste (joonised)'!H61</f>
        <v>40.743816960000004</v>
      </c>
      <c r="N61" s="116">
        <f>D61*Labisoit!$J$36*'Ohusaaste (joonised)'!I61</f>
        <v>26.153812746333571</v>
      </c>
      <c r="O61" s="185">
        <f>E61*Labisoit!$J$65*J61</f>
        <v>29.32193493040814</v>
      </c>
    </row>
    <row r="62" spans="1:49" x14ac:dyDescent="0.25">
      <c r="A62" s="85" t="str">
        <f t="shared" si="7"/>
        <v>Veoauto, diisel NB -Tonn-km kohta</v>
      </c>
      <c r="B62" s="85">
        <f t="shared" si="7"/>
        <v>0</v>
      </c>
      <c r="C62" s="85">
        <f t="shared" si="7"/>
        <v>0.7</v>
      </c>
      <c r="D62" s="85">
        <f t="shared" si="7"/>
        <v>0.35</v>
      </c>
      <c r="E62" s="178">
        <f t="shared" si="7"/>
        <v>0.26249999999999996</v>
      </c>
      <c r="G62" s="69"/>
      <c r="H62" s="78">
        <f>[2]TransportB_VS!$T$63</f>
        <v>0.87</v>
      </c>
      <c r="I62" s="78">
        <f>[6]Transport30B_VS!$T$63</f>
        <v>0.73499999999999999</v>
      </c>
      <c r="J62" s="142">
        <f>[7]Transport50VS!$T$63</f>
        <v>0.72</v>
      </c>
      <c r="K62" s="64"/>
      <c r="L62" s="67"/>
      <c r="M62" s="71">
        <f>C62*Labisoit!$E$21*'Ohusaaste (joonised)'!H62</f>
        <v>3891.1412127430012</v>
      </c>
      <c r="N62" s="116">
        <f>D62*Labisoit!$E$50*'Ohusaaste (joonised)'!I62</f>
        <v>2028.2718784100873</v>
      </c>
      <c r="O62" s="185">
        <f>E62*Labisoit!$E$79*J62</f>
        <v>1584.8431292471007</v>
      </c>
    </row>
    <row r="63" spans="1:49" x14ac:dyDescent="0.25">
      <c r="A63" s="67" t="s">
        <v>46</v>
      </c>
      <c r="B63" s="85">
        <f t="shared" si="7"/>
        <v>0</v>
      </c>
      <c r="C63" s="85">
        <f t="shared" si="7"/>
        <v>0.25</v>
      </c>
      <c r="D63" s="85">
        <f t="shared" si="7"/>
        <v>0.125</v>
      </c>
      <c r="E63" s="178">
        <f t="shared" si="7"/>
        <v>9.375E-2</v>
      </c>
      <c r="G63" s="69"/>
      <c r="H63" s="78">
        <f>[2]TransportB_VS!$Z$63</f>
        <v>0.05</v>
      </c>
      <c r="I63" s="78">
        <f>[6]Transport30B_VS!$U$63+[6]Transport30B_VS!$Z$63</f>
        <v>0.25</v>
      </c>
      <c r="J63" s="78">
        <f>[7]Transport50VS!$U$63+[7]Transport50VS!$Z$63</f>
        <v>0.25</v>
      </c>
      <c r="K63" s="64"/>
      <c r="L63" s="67"/>
      <c r="M63" s="71">
        <f>C63*Labisoit!$E$21*'Ohusaaste (joonised)'!H63</f>
        <v>79.867430475020569</v>
      </c>
      <c r="N63" s="116">
        <f>D63*Labisoit!$E$50*'Ohusaaste (joonised)'!I63</f>
        <v>246.38871214894164</v>
      </c>
      <c r="O63" s="185">
        <f>E63*Labisoit!$E$79*J63</f>
        <v>196.53312614671393</v>
      </c>
    </row>
    <row r="64" spans="1:49" x14ac:dyDescent="0.25">
      <c r="A64" s="85" t="str">
        <f>A17</f>
        <v>Reisirong, diisel, reisija_km kohta</v>
      </c>
      <c r="B64" s="85">
        <f t="shared" si="7"/>
        <v>0</v>
      </c>
      <c r="C64" s="85">
        <f t="shared" si="7"/>
        <v>0.2</v>
      </c>
      <c r="D64" s="85">
        <f t="shared" si="7"/>
        <v>0.2</v>
      </c>
      <c r="E64" s="178">
        <f t="shared" si="7"/>
        <v>0.15000000000000002</v>
      </c>
      <c r="G64" s="69"/>
      <c r="H64" s="78">
        <f>[2]TransportB_VS!$T$58+[2]TransportB_VS!$X$58</f>
        <v>0.3</v>
      </c>
      <c r="I64" s="78">
        <f>[6]Transport30B_VS!$T$58+[6]Transport30B_VS!$X$58</f>
        <v>0.24999999999999997</v>
      </c>
      <c r="J64" s="78">
        <f>[7]Transport50VS!$T$58</f>
        <v>0</v>
      </c>
      <c r="K64" s="64"/>
      <c r="L64" s="67"/>
      <c r="M64" s="92">
        <f>C64*Labisoit!$E$9*H64</f>
        <v>45.473010000000002</v>
      </c>
      <c r="N64" s="92">
        <f>D64*Labisoit!$E$37*I64</f>
        <v>42.457488224567484</v>
      </c>
      <c r="O64" s="185">
        <f>E64*Labisoit!$E$66*J64</f>
        <v>0</v>
      </c>
    </row>
    <row r="65" spans="1:49" ht="13.8" thickBot="1" x14ac:dyDescent="0.3">
      <c r="A65" s="85" t="str">
        <f>A18</f>
        <v>Kaubarong, g/tonn-km</v>
      </c>
      <c r="B65" s="85">
        <f t="shared" si="7"/>
        <v>0</v>
      </c>
      <c r="C65" s="85">
        <f t="shared" si="7"/>
        <v>0.32</v>
      </c>
      <c r="D65" s="85">
        <f t="shared" si="7"/>
        <v>0.10560000000000001</v>
      </c>
      <c r="E65" s="178">
        <f t="shared" si="7"/>
        <v>7.9200000000000007E-2</v>
      </c>
      <c r="G65" s="66"/>
      <c r="H65" s="77">
        <f>[2]TransportB_VS!$T$64+[2]TransportB_VS!$X$64</f>
        <v>1</v>
      </c>
      <c r="I65" s="77">
        <f>[6]Transport30B_VS!$T$64</f>
        <v>0.85</v>
      </c>
      <c r="J65" s="142">
        <f>[7]Transport50VS!$T$64</f>
        <v>0.55000000000000004</v>
      </c>
      <c r="K65" s="64"/>
      <c r="L65" s="63"/>
      <c r="M65" s="62">
        <f>C65*Labisoit!$E$22*'Ohusaaste (joonised)'!H65</f>
        <v>2305.619780181019</v>
      </c>
      <c r="N65" s="117">
        <f>D65*Labisoit!$E$51*'Ohusaaste (joonised)'!I65</f>
        <v>627.58942654610291</v>
      </c>
      <c r="O65" s="185">
        <f>E65*Labisoit!$E$80*J65</f>
        <v>323.91744388241739</v>
      </c>
    </row>
    <row r="66" spans="1:49" ht="13.8" thickBot="1" x14ac:dyDescent="0.3">
      <c r="A66" s="85" t="str">
        <f>I19</f>
        <v>Kokku</v>
      </c>
      <c r="B66" s="85"/>
      <c r="C66" s="85"/>
      <c r="D66" s="85"/>
      <c r="G66" s="61"/>
      <c r="H66" s="60"/>
      <c r="I66" s="60"/>
      <c r="J66" s="129"/>
      <c r="K66" s="57"/>
      <c r="L66" s="60">
        <v>12368</v>
      </c>
      <c r="M66" s="58">
        <f>SUM(M58:M65)</f>
        <v>9654.5752107972803</v>
      </c>
      <c r="N66" s="118">
        <f>SUM(N58:N65)</f>
        <v>4327.647030101949</v>
      </c>
      <c r="O66" s="186">
        <f>SUM(O58:O65)</f>
        <v>3069.2437961950113</v>
      </c>
    </row>
    <row r="67" spans="1:49" ht="13.8" thickBot="1" x14ac:dyDescent="0.3">
      <c r="A67" s="84"/>
      <c r="B67" s="84"/>
      <c r="C67" s="84"/>
      <c r="D67" s="84"/>
      <c r="G67" s="80" t="s">
        <v>48</v>
      </c>
      <c r="H67" s="76"/>
      <c r="I67" s="76"/>
      <c r="J67" s="126"/>
      <c r="K67" s="64"/>
      <c r="L67" s="269" t="s">
        <v>101</v>
      </c>
      <c r="M67" s="267"/>
      <c r="N67" s="267"/>
      <c r="O67" s="122"/>
    </row>
    <row r="68" spans="1:49" s="108" customFormat="1" ht="13.8" thickBot="1" x14ac:dyDescent="0.3">
      <c r="A68" s="193" t="str">
        <f t="shared" ref="A68:E76" si="8">A21</f>
        <v>PM2,5</v>
      </c>
      <c r="B68" s="194">
        <f t="shared" si="8"/>
        <v>2010</v>
      </c>
      <c r="C68" s="194">
        <f t="shared" si="8"/>
        <v>2020</v>
      </c>
      <c r="D68" s="194">
        <f t="shared" si="8"/>
        <v>2030</v>
      </c>
      <c r="E68" s="108">
        <v>2050</v>
      </c>
      <c r="G68" s="106">
        <v>2010</v>
      </c>
      <c r="H68" s="107">
        <v>2020</v>
      </c>
      <c r="I68" s="107">
        <v>2030</v>
      </c>
      <c r="J68" s="127">
        <v>2050</v>
      </c>
      <c r="L68" s="107">
        <v>2010</v>
      </c>
      <c r="M68" s="107">
        <v>2020</v>
      </c>
      <c r="N68" s="114">
        <v>2030</v>
      </c>
      <c r="O68" s="123">
        <v>2050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</row>
    <row r="69" spans="1:49" x14ac:dyDescent="0.25">
      <c r="A69" s="86" t="str">
        <f t="shared" si="8"/>
        <v>Sõiduauto, bensiin, gaas, etanool</v>
      </c>
      <c r="B69" s="86">
        <f t="shared" si="8"/>
        <v>0</v>
      </c>
      <c r="C69" s="86">
        <f t="shared" si="8"/>
        <v>3.3E-3</v>
      </c>
      <c r="D69" s="86">
        <f t="shared" si="8"/>
        <v>2E-3</v>
      </c>
      <c r="E69" s="180">
        <f t="shared" si="8"/>
        <v>1.5E-3</v>
      </c>
      <c r="G69" s="75"/>
      <c r="H69" s="74">
        <f>H22</f>
        <v>0.71500000000000008</v>
      </c>
      <c r="I69" s="74">
        <f t="shared" ref="I69:I76" si="9">I58</f>
        <v>0.69000000000000006</v>
      </c>
      <c r="J69" s="142">
        <f>[7]Transport50VS!$S$56+[7]Transport50VS!$U$56+[7]Transport50VS!$V$56</f>
        <v>0.44999999999999996</v>
      </c>
      <c r="K69" s="64"/>
      <c r="L69" s="73"/>
      <c r="M69" s="72">
        <f>C69*Labisoit!$J$7*H69</f>
        <v>16.842594834680234</v>
      </c>
      <c r="N69" s="115">
        <f>D69*Labisoit!$J$35*I69</f>
        <v>11.289051165533666</v>
      </c>
      <c r="O69" s="185">
        <f>E69*Labisoit!$J$64*J69</f>
        <v>6.3598970362993272</v>
      </c>
    </row>
    <row r="70" spans="1:49" x14ac:dyDescent="0.25">
      <c r="A70" s="85" t="str">
        <f t="shared" si="8"/>
        <v>Sõiduauto, diisel, biodiisel</v>
      </c>
      <c r="B70" s="85">
        <f t="shared" si="8"/>
        <v>0</v>
      </c>
      <c r="C70" s="85">
        <f t="shared" si="8"/>
        <v>2.9000000000000001E-2</v>
      </c>
      <c r="D70" s="86">
        <f t="shared" si="8"/>
        <v>1.4999999999999999E-2</v>
      </c>
      <c r="E70" s="180">
        <f t="shared" si="8"/>
        <v>1.125E-2</v>
      </c>
      <c r="G70" s="69"/>
      <c r="H70" s="74">
        <f>H23</f>
        <v>0.28499999999999992</v>
      </c>
      <c r="I70" s="68">
        <f t="shared" si="9"/>
        <v>0.29500000000000004</v>
      </c>
      <c r="J70" s="142">
        <f>[7]Transport50VS!$T$56+[7]Transport50VS!$X$56</f>
        <v>0.35000000000000003</v>
      </c>
      <c r="K70" s="64"/>
      <c r="L70" s="67"/>
      <c r="M70" s="72">
        <f>C70*Labisoit!$J$7*H70</f>
        <v>58.997264805523244</v>
      </c>
      <c r="N70" s="115">
        <f>D70*Labisoit!$J$35*I70</f>
        <v>36.198587976439462</v>
      </c>
      <c r="O70" s="185">
        <f>E70*Labisoit!$J$64*J70</f>
        <v>37.099399378412741</v>
      </c>
    </row>
    <row r="71" spans="1:49" x14ac:dyDescent="0.25">
      <c r="A71" s="85" t="str">
        <f t="shared" si="8"/>
        <v>Buss, diisel, biodiisel</v>
      </c>
      <c r="B71" s="85">
        <f t="shared" si="8"/>
        <v>0</v>
      </c>
      <c r="C71" s="85">
        <f t="shared" si="8"/>
        <v>0.17</v>
      </c>
      <c r="D71" s="86">
        <f t="shared" si="8"/>
        <v>1.4999999999999999E-2</v>
      </c>
      <c r="E71" s="180">
        <f t="shared" si="8"/>
        <v>1.125E-2</v>
      </c>
      <c r="G71" s="69"/>
      <c r="H71" s="68">
        <f t="shared" ref="H71:H76" si="10">H60</f>
        <v>0.78700000000000003</v>
      </c>
      <c r="I71" s="68">
        <f t="shared" si="9"/>
        <v>0.48000000000000009</v>
      </c>
      <c r="J71" s="142">
        <f>[7]Transport50VS!$T$57+[7]Transport50VS!$X$57</f>
        <v>0.15000000000000002</v>
      </c>
      <c r="K71" s="64"/>
      <c r="L71" s="67"/>
      <c r="M71" s="71">
        <f>C71*Labisoit!$J$8*'Ohusaaste (joonised)'!H71</f>
        <v>12.97884588352</v>
      </c>
      <c r="N71" s="116">
        <f>D71*Labisoit!$J$36*'Ohusaaste (joonised)'!I71</f>
        <v>0.67252661347714915</v>
      </c>
      <c r="O71" s="185">
        <f>E71*Labisoit!$J$65*J71</f>
        <v>0.15708179427004365</v>
      </c>
    </row>
    <row r="72" spans="1:49" x14ac:dyDescent="0.25">
      <c r="A72" s="85" t="str">
        <f t="shared" si="8"/>
        <v>Buss, gaas, etanool</v>
      </c>
      <c r="B72" s="85">
        <f t="shared" si="8"/>
        <v>0</v>
      </c>
      <c r="C72" s="85">
        <f t="shared" si="8"/>
        <v>8.0999999999999996E-3</v>
      </c>
      <c r="D72" s="86">
        <f t="shared" si="8"/>
        <v>8.0999999999999996E-3</v>
      </c>
      <c r="E72" s="180">
        <f t="shared" si="8"/>
        <v>6.0749999999999997E-3</v>
      </c>
      <c r="G72" s="69"/>
      <c r="H72" s="68">
        <f t="shared" si="10"/>
        <v>0.2</v>
      </c>
      <c r="I72" s="68">
        <f t="shared" si="9"/>
        <v>0.39999999999999997</v>
      </c>
      <c r="J72" s="142">
        <f>[7]Transport50VS!$U$57+[7]Transport50VS!$Z$57</f>
        <v>0.6</v>
      </c>
      <c r="K72" s="64"/>
      <c r="L72" s="67"/>
      <c r="M72" s="70">
        <f>C72*Labisoit!$J$8*'Ohusaaste (joonised)'!H72</f>
        <v>0.15715472255999999</v>
      </c>
      <c r="N72" s="120">
        <f>D72*Labisoit!$J$36*'Ohusaaste (joonised)'!I72</f>
        <v>0.30263697606471701</v>
      </c>
      <c r="O72" s="185">
        <f>E72*Labisoit!$J$65*J72</f>
        <v>0.33929667562329419</v>
      </c>
    </row>
    <row r="73" spans="1:49" x14ac:dyDescent="0.25">
      <c r="A73" s="85" t="str">
        <f t="shared" si="8"/>
        <v>Veoauto NB -Tonn-km kohta</v>
      </c>
      <c r="B73" s="85">
        <f t="shared" si="8"/>
        <v>0</v>
      </c>
      <c r="C73" s="85">
        <f t="shared" si="8"/>
        <v>1.6E-2</v>
      </c>
      <c r="D73" s="86">
        <f t="shared" si="8"/>
        <v>5.3333333333333332E-3</v>
      </c>
      <c r="E73" s="180">
        <f t="shared" si="8"/>
        <v>4.0000000000000001E-3</v>
      </c>
      <c r="G73" s="69"/>
      <c r="H73" s="68">
        <f t="shared" si="10"/>
        <v>0.87</v>
      </c>
      <c r="I73" s="68">
        <f t="shared" si="9"/>
        <v>0.73499999999999999</v>
      </c>
      <c r="J73" s="142">
        <f>[7]Transport50VS!$T$63</f>
        <v>0.72</v>
      </c>
      <c r="K73" s="64"/>
      <c r="L73" s="67"/>
      <c r="M73" s="71">
        <f>C73*Labisoit!$E$21*'Ohusaaste (joonised)'!H73</f>
        <v>88.9403705769829</v>
      </c>
      <c r="N73" s="116">
        <f>D73*Labisoit!$E$50*'Ohusaaste (joonised)'!I73</f>
        <v>30.907000051963241</v>
      </c>
      <c r="O73" s="185">
        <f>E73*Labisoit!$E$79*J73</f>
        <v>24.14999054090821</v>
      </c>
    </row>
    <row r="74" spans="1:49" x14ac:dyDescent="0.25">
      <c r="A74" s="67" t="s">
        <v>46</v>
      </c>
      <c r="B74" s="85">
        <f t="shared" si="8"/>
        <v>0</v>
      </c>
      <c r="C74" s="85">
        <f t="shared" si="8"/>
        <v>8.0000000000000004E-4</v>
      </c>
      <c r="D74" s="86">
        <f t="shared" si="8"/>
        <v>2.6666666666666668E-4</v>
      </c>
      <c r="E74" s="180">
        <f t="shared" si="8"/>
        <v>2.0000000000000001E-4</v>
      </c>
      <c r="G74" s="69"/>
      <c r="H74" s="68">
        <f t="shared" si="10"/>
        <v>0.05</v>
      </c>
      <c r="I74" s="68">
        <f t="shared" si="9"/>
        <v>0.25</v>
      </c>
      <c r="J74" s="142">
        <f>[7]Transport50VS!$U$63+[7]Transport50VS!$Z$63</f>
        <v>0.25</v>
      </c>
      <c r="K74" s="64"/>
      <c r="L74" s="67"/>
      <c r="M74" s="70">
        <f>C74*Labisoit!$E$21*'Ohusaaste (joonised)'!H74</f>
        <v>0.25557577752006583</v>
      </c>
      <c r="N74" s="120">
        <f>D74*Labisoit!$E$50*'Ohusaaste (joonised)'!I74</f>
        <v>0.52562925258440885</v>
      </c>
      <c r="O74" s="185">
        <f>E74*Labisoit!$E$79*J74</f>
        <v>0.41927066911298971</v>
      </c>
    </row>
    <row r="75" spans="1:49" x14ac:dyDescent="0.25">
      <c r="A75" s="85" t="str">
        <f>A28</f>
        <v>Reisirong, g/reisija-km</v>
      </c>
      <c r="B75" s="85">
        <f t="shared" si="8"/>
        <v>0</v>
      </c>
      <c r="C75" s="85">
        <f t="shared" si="8"/>
        <v>2E-3</v>
      </c>
      <c r="D75" s="86">
        <f t="shared" si="8"/>
        <v>2E-3</v>
      </c>
      <c r="E75" s="180">
        <f t="shared" si="8"/>
        <v>1.5E-3</v>
      </c>
      <c r="G75" s="69"/>
      <c r="H75" s="68">
        <f t="shared" si="10"/>
        <v>0.3</v>
      </c>
      <c r="I75" s="68">
        <f t="shared" si="9"/>
        <v>0.24999999999999997</v>
      </c>
      <c r="J75" s="142">
        <f>[7]Transport50VS!$T$58</f>
        <v>0</v>
      </c>
      <c r="K75" s="64"/>
      <c r="L75" s="67"/>
      <c r="M75" s="91">
        <f>C75*Labisoit!$E$9*H75</f>
        <v>0.45473010000000003</v>
      </c>
      <c r="N75" s="91">
        <f>D75*Labisoit!$E$37*I75</f>
        <v>0.4245748822456748</v>
      </c>
      <c r="O75" s="185">
        <f>E75*Labisoit!$E$66*J75</f>
        <v>0</v>
      </c>
    </row>
    <row r="76" spans="1:49" ht="13.8" thickBot="1" x14ac:dyDescent="0.3">
      <c r="A76" s="84" t="str">
        <f>A29</f>
        <v>Kaubarong, diisel, g/tonn-km</v>
      </c>
      <c r="B76" s="84">
        <f t="shared" si="8"/>
        <v>0</v>
      </c>
      <c r="C76" s="84">
        <f t="shared" si="8"/>
        <v>1.2E-2</v>
      </c>
      <c r="D76" s="86">
        <f t="shared" si="8"/>
        <v>1E-3</v>
      </c>
      <c r="E76" s="180">
        <f t="shared" si="8"/>
        <v>7.5000000000000002E-4</v>
      </c>
      <c r="G76" s="66"/>
      <c r="H76" s="68">
        <f t="shared" si="10"/>
        <v>1</v>
      </c>
      <c r="I76" s="68">
        <f t="shared" si="9"/>
        <v>0.85</v>
      </c>
      <c r="J76" s="142">
        <f>[7]Transport50VS!$T$64</f>
        <v>0.55000000000000004</v>
      </c>
      <c r="K76" s="64"/>
      <c r="L76" s="63"/>
      <c r="M76" s="62">
        <f>C76*Labisoit!$E$22*'Ohusaaste (joonised)'!H76</f>
        <v>86.460741756788224</v>
      </c>
      <c r="N76" s="117">
        <f>D76*Labisoit!$E$51*'Ohusaaste (joonised)'!I76</f>
        <v>5.9430816907774888</v>
      </c>
      <c r="O76" s="185">
        <f>E76*Labisoit!$E$80*J76</f>
        <v>3.0674000367653163</v>
      </c>
    </row>
    <row r="77" spans="1:49" s="81" customFormat="1" ht="13.8" thickBot="1" x14ac:dyDescent="0.3">
      <c r="B77" s="83"/>
      <c r="C77" s="83"/>
      <c r="D77" s="83"/>
      <c r="G77" s="82"/>
      <c r="I77" s="87"/>
      <c r="J77" s="130"/>
      <c r="L77" s="93">
        <v>499</v>
      </c>
      <c r="M77" s="58">
        <f>SUM(M69:M76)</f>
        <v>265.08727845757471</v>
      </c>
      <c r="N77" s="118">
        <f>SUM(N69:N76)</f>
        <v>86.263088609085813</v>
      </c>
      <c r="O77" s="186">
        <f>SUM(O69:O76)</f>
        <v>71.592336131391932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112" customFormat="1" ht="13.8" thickBot="1" x14ac:dyDescent="0.3">
      <c r="A78" s="110"/>
      <c r="B78" s="110"/>
      <c r="C78" s="110"/>
      <c r="D78" s="110"/>
      <c r="E78" s="109"/>
      <c r="G78" s="198" t="s">
        <v>48</v>
      </c>
      <c r="I78" s="195"/>
      <c r="J78" s="196"/>
      <c r="L78" s="262" t="s">
        <v>84</v>
      </c>
      <c r="M78" s="263"/>
      <c r="N78" s="263"/>
      <c r="O78" s="197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</row>
    <row r="79" spans="1:49" s="64" customFormat="1" ht="13.8" thickBot="1" x14ac:dyDescent="0.3">
      <c r="A79" s="106" t="s">
        <v>83</v>
      </c>
      <c r="B79" s="107">
        <v>2010</v>
      </c>
      <c r="C79" s="158">
        <v>2020</v>
      </c>
      <c r="D79" s="158">
        <v>2030</v>
      </c>
      <c r="E79" s="108">
        <v>2050</v>
      </c>
      <c r="G79" s="106">
        <v>2010</v>
      </c>
      <c r="H79" s="107">
        <v>2020</v>
      </c>
      <c r="I79" s="107">
        <v>2030</v>
      </c>
      <c r="J79" s="127">
        <v>2050</v>
      </c>
      <c r="L79" s="107">
        <v>2010</v>
      </c>
      <c r="M79" s="107">
        <v>2020</v>
      </c>
      <c r="N79" s="114">
        <v>2030</v>
      </c>
      <c r="O79" s="123">
        <v>2050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64" customFormat="1" x14ac:dyDescent="0.25">
      <c r="A80" s="73" t="s">
        <v>57</v>
      </c>
      <c r="B80" s="73"/>
      <c r="C80" s="160">
        <f t="shared" ref="C80:E87" si="11">C33</f>
        <v>9.3999999999999997E-4</v>
      </c>
      <c r="D80" s="160">
        <f t="shared" si="11"/>
        <v>9.3999999999999997E-4</v>
      </c>
      <c r="E80" s="177">
        <f t="shared" si="11"/>
        <v>7.0500000000000001E-4</v>
      </c>
      <c r="G80" s="75"/>
      <c r="H80" s="74">
        <f>H33</f>
        <v>0.71500000000000008</v>
      </c>
      <c r="I80" s="74">
        <f t="shared" ref="I80:I87" si="12">I69</f>
        <v>0.69000000000000006</v>
      </c>
      <c r="J80" s="142">
        <f>[7]Transport50VS!$S$56+[7]Transport50VS!$U$56+[7]Transport50VS!$V$56</f>
        <v>0.44999999999999996</v>
      </c>
      <c r="L80" s="73"/>
      <c r="M80" s="72">
        <f>C80*Labisoit!$J$7*H80</f>
        <v>4.797587619575582</v>
      </c>
      <c r="N80" s="115">
        <f>D80*Labisoit!$J$35*I80</f>
        <v>5.3058540478008211</v>
      </c>
      <c r="O80" s="185">
        <f>E80*Labisoit!$J$64*J80</f>
        <v>2.9891516070606836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64" customFormat="1" x14ac:dyDescent="0.25">
      <c r="A81" s="67" t="s">
        <v>56</v>
      </c>
      <c r="B81" s="67"/>
      <c r="C81" s="160">
        <f t="shared" si="11"/>
        <v>1.1000000000000001E-3</v>
      </c>
      <c r="D81" s="160">
        <f t="shared" si="11"/>
        <v>1E-3</v>
      </c>
      <c r="E81" s="177">
        <f t="shared" si="11"/>
        <v>7.5000000000000002E-4</v>
      </c>
      <c r="G81" s="69"/>
      <c r="H81" s="74">
        <f>H34</f>
        <v>0.28499999999999992</v>
      </c>
      <c r="I81" s="68">
        <f t="shared" si="12"/>
        <v>0.29500000000000004</v>
      </c>
      <c r="J81" s="142">
        <f>[7]Transport50VS!$T$56+[7]Transport50VS!$X$56</f>
        <v>0.35000000000000003</v>
      </c>
      <c r="L81" s="67"/>
      <c r="M81" s="72">
        <f>C81*Labisoit!$J$7*H81</f>
        <v>2.2378272857267438</v>
      </c>
      <c r="N81" s="115">
        <f>D81*Labisoit!$J$35*I81</f>
        <v>2.4132391984292982</v>
      </c>
      <c r="O81" s="185">
        <f>E81*Labisoit!$J$64*J81</f>
        <v>2.4732932918941835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64" customFormat="1" x14ac:dyDescent="0.25">
      <c r="A82" s="67" t="s">
        <v>55</v>
      </c>
      <c r="B82" s="67"/>
      <c r="C82" s="160">
        <f t="shared" si="11"/>
        <v>5.7000000000000002E-3</v>
      </c>
      <c r="D82" s="160">
        <f t="shared" si="11"/>
        <v>5.7000000000000002E-3</v>
      </c>
      <c r="E82" s="177">
        <f t="shared" si="11"/>
        <v>4.2750000000000002E-3</v>
      </c>
      <c r="G82" s="69"/>
      <c r="H82" s="68">
        <f t="shared" ref="H82:H87" si="13">H71</f>
        <v>0.78700000000000003</v>
      </c>
      <c r="I82" s="68">
        <f t="shared" si="12"/>
        <v>0.48000000000000009</v>
      </c>
      <c r="J82" s="142">
        <f>[7]Transport50VS!$T$57+[7]Transport50VS!$X$57</f>
        <v>0.15000000000000002</v>
      </c>
      <c r="L82" s="67"/>
      <c r="M82" s="71">
        <f>C82*Labisoit!$J$8*'Ohusaaste (joonised)'!H82</f>
        <v>0.43517306785920001</v>
      </c>
      <c r="N82" s="116">
        <f>D82*Labisoit!$J$36*'Ohusaaste (joonised)'!I82</f>
        <v>0.25556011312131666</v>
      </c>
      <c r="O82" s="185">
        <f>E82*Labisoit!$J$65*J82</f>
        <v>5.9691081822616593E-2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64" customFormat="1" x14ac:dyDescent="0.25">
      <c r="A83" s="67" t="s">
        <v>54</v>
      </c>
      <c r="B83" s="67"/>
      <c r="C83" s="160">
        <f t="shared" si="11"/>
        <v>3.5E-4</v>
      </c>
      <c r="D83" s="160">
        <f t="shared" si="11"/>
        <v>3.5E-4</v>
      </c>
      <c r="E83" s="177">
        <f t="shared" si="11"/>
        <v>2.6249999999999998E-4</v>
      </c>
      <c r="G83" s="69"/>
      <c r="H83" s="68">
        <f t="shared" si="13"/>
        <v>0.2</v>
      </c>
      <c r="I83" s="68">
        <f t="shared" si="12"/>
        <v>0.39999999999999997</v>
      </c>
      <c r="J83" s="142">
        <f>[7]Transport50VS!$U$57+[7]Transport50VS!$Z$57</f>
        <v>0.6</v>
      </c>
      <c r="L83" s="67"/>
      <c r="M83" s="70">
        <f>C83*Labisoit!$J$8*'Ohusaaste (joonised)'!H83</f>
        <v>6.7906361599999994E-3</v>
      </c>
      <c r="N83" s="120">
        <f>D83*Labisoit!$J$36*'Ohusaaste (joonised)'!I83</f>
        <v>1.3076906373166785E-2</v>
      </c>
      <c r="O83" s="185">
        <f>E83*Labisoit!$J$65*J83</f>
        <v>1.466096746520407E-2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64" customFormat="1" x14ac:dyDescent="0.25">
      <c r="A84" s="67" t="s">
        <v>53</v>
      </c>
      <c r="B84" s="67"/>
      <c r="C84" s="160">
        <f t="shared" si="11"/>
        <v>7.5000000000000002E-4</v>
      </c>
      <c r="D84" s="160">
        <f t="shared" si="11"/>
        <v>7.3999999999999999E-4</v>
      </c>
      <c r="E84" s="177">
        <f t="shared" si="11"/>
        <v>5.5499999999999994E-4</v>
      </c>
      <c r="G84" s="69"/>
      <c r="H84" s="68">
        <f t="shared" si="13"/>
        <v>0.87</v>
      </c>
      <c r="I84" s="68">
        <f t="shared" si="12"/>
        <v>0.73499999999999999</v>
      </c>
      <c r="J84" s="142">
        <f>[7]Transport50VS!$T$63</f>
        <v>0.72</v>
      </c>
      <c r="L84" s="67"/>
      <c r="M84" s="71">
        <f>C84*Labisoit!$E$21*'Ohusaaste (joonised)'!H84</f>
        <v>4.1690798707960735</v>
      </c>
      <c r="N84" s="116">
        <f>D84*Labisoit!$E$50*'Ohusaaste (joonised)'!I84</f>
        <v>4.2883462572098994</v>
      </c>
      <c r="O84" s="185">
        <f>E84*Labisoit!$E$79*J84</f>
        <v>3.3508111875510136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64" customFormat="1" x14ac:dyDescent="0.25">
      <c r="A85" s="67" t="s">
        <v>46</v>
      </c>
      <c r="B85" s="67"/>
      <c r="C85" s="160">
        <f t="shared" si="11"/>
        <v>4.5000000000000003E-5</v>
      </c>
      <c r="D85" s="160">
        <f t="shared" si="11"/>
        <v>4.5000000000000003E-5</v>
      </c>
      <c r="E85" s="177">
        <f t="shared" si="11"/>
        <v>3.375E-5</v>
      </c>
      <c r="G85" s="69"/>
      <c r="H85" s="68">
        <f t="shared" si="13"/>
        <v>0.05</v>
      </c>
      <c r="I85" s="68">
        <f t="shared" si="12"/>
        <v>0.25</v>
      </c>
      <c r="J85" s="142">
        <f>[7]Transport50VS!$U$63+[7]Transport50VS!$Z$63</f>
        <v>0.25</v>
      </c>
      <c r="L85" s="67"/>
      <c r="M85" s="70">
        <f>C85*Labisoit!$E$21*'Ohusaaste (joonised)'!H85</f>
        <v>1.4376137485503702E-2</v>
      </c>
      <c r="N85" s="120">
        <f>D85*Labisoit!$E$50*'Ohusaaste (joonised)'!I85</f>
        <v>8.869993637361899E-2</v>
      </c>
      <c r="O85" s="185">
        <f>E85*Labisoit!$E$79*J85</f>
        <v>7.075192541281701E-2</v>
      </c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64" customFormat="1" x14ac:dyDescent="0.25">
      <c r="A86" s="67" t="s">
        <v>52</v>
      </c>
      <c r="B86" s="67"/>
      <c r="C86" s="160">
        <f t="shared" si="11"/>
        <v>4.8000000000000001E-4</v>
      </c>
      <c r="D86" s="160">
        <f t="shared" si="11"/>
        <v>4.8000000000000001E-4</v>
      </c>
      <c r="E86" s="177">
        <f t="shared" si="11"/>
        <v>3.6000000000000002E-4</v>
      </c>
      <c r="G86" s="69"/>
      <c r="H86" s="68">
        <f t="shared" si="13"/>
        <v>0.3</v>
      </c>
      <c r="I86" s="68">
        <f t="shared" si="12"/>
        <v>0.24999999999999997</v>
      </c>
      <c r="J86" s="142">
        <f>[7]Transport50VS!$T$58</f>
        <v>0</v>
      </c>
      <c r="L86" s="67"/>
      <c r="M86" s="91">
        <f>C86*Labisoit!$E$9*H86</f>
        <v>0.109135224</v>
      </c>
      <c r="N86" s="91">
        <f>D86*Labisoit!$E$37*I86</f>
        <v>0.10189797173896195</v>
      </c>
      <c r="O86" s="185">
        <f>E86*Labisoit!$E$66*J86</f>
        <v>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</row>
    <row r="87" spans="1:49" s="64" customFormat="1" ht="13.8" thickBot="1" x14ac:dyDescent="0.3">
      <c r="A87" s="63" t="s">
        <v>51</v>
      </c>
      <c r="B87" s="63"/>
      <c r="C87" s="160">
        <f t="shared" si="11"/>
        <v>1.7000000000000001E-4</v>
      </c>
      <c r="D87" s="160">
        <f t="shared" si="11"/>
        <v>1.7000000000000001E-4</v>
      </c>
      <c r="E87" s="177">
        <f t="shared" si="11"/>
        <v>1.2750000000000001E-4</v>
      </c>
      <c r="G87" s="66"/>
      <c r="H87" s="68">
        <f t="shared" si="13"/>
        <v>1</v>
      </c>
      <c r="I87" s="68">
        <f t="shared" si="12"/>
        <v>0.85</v>
      </c>
      <c r="J87" s="142">
        <f>[7]Transport50VS!$T$64</f>
        <v>0.55000000000000004</v>
      </c>
      <c r="L87" s="63"/>
      <c r="M87" s="62">
        <f>C87*Labisoit!$E$22*'Ohusaaste (joonised)'!H87</f>
        <v>1.2248605082211665</v>
      </c>
      <c r="N87" s="117">
        <f>D87*Labisoit!$E$51*'Ohusaaste (joonised)'!I87</f>
        <v>1.0103238874321732</v>
      </c>
      <c r="O87" s="185">
        <f>E87*Labisoit!$E$80*J87</f>
        <v>0.52145800625010386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1:49" s="64" customFormat="1" ht="13.8" thickBot="1" x14ac:dyDescent="0.3">
      <c r="A88" s="89"/>
      <c r="B88" s="57"/>
      <c r="C88" s="159"/>
      <c r="D88" s="159"/>
      <c r="E88" s="159"/>
      <c r="G88" s="82"/>
      <c r="H88" s="81"/>
      <c r="I88" s="87"/>
      <c r="J88" s="130"/>
      <c r="L88" s="93">
        <f>L41</f>
        <v>76</v>
      </c>
      <c r="M88" s="58">
        <f>SUM(M80:M87)</f>
        <v>12.994830349824268</v>
      </c>
      <c r="N88" s="118">
        <f>SUM(N80:N87)</f>
        <v>13.476998318479257</v>
      </c>
      <c r="O88" s="186">
        <f>SUM(O80:O87)</f>
        <v>9.4798180674566215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1:49" s="64" customFormat="1" ht="13.8" thickBot="1" x14ac:dyDescent="0.3">
      <c r="A89" s="110"/>
      <c r="B89" s="110"/>
      <c r="C89" s="110"/>
      <c r="D89" s="110"/>
      <c r="E89" s="109"/>
      <c r="G89" s="198" t="s">
        <v>48</v>
      </c>
      <c r="H89" s="112"/>
      <c r="I89" s="195"/>
      <c r="J89" s="196"/>
      <c r="L89" s="262" t="s">
        <v>86</v>
      </c>
      <c r="M89" s="263"/>
      <c r="N89" s="263"/>
      <c r="O89" s="19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1:49" s="64" customFormat="1" ht="13.8" thickBot="1" x14ac:dyDescent="0.3">
      <c r="A90" s="106" t="s">
        <v>85</v>
      </c>
      <c r="B90" s="107">
        <v>2010</v>
      </c>
      <c r="C90" s="158">
        <v>2020</v>
      </c>
      <c r="D90" s="158">
        <v>2030</v>
      </c>
      <c r="E90" s="108">
        <v>2050</v>
      </c>
      <c r="G90" s="106">
        <v>2010</v>
      </c>
      <c r="H90" s="107">
        <v>2020</v>
      </c>
      <c r="I90" s="107">
        <v>2030</v>
      </c>
      <c r="J90" s="127">
        <v>2050</v>
      </c>
      <c r="L90" s="107">
        <v>2010</v>
      </c>
      <c r="M90" s="107">
        <v>2020</v>
      </c>
      <c r="N90" s="114">
        <v>2030</v>
      </c>
      <c r="O90" s="123">
        <v>2050</v>
      </c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</row>
    <row r="91" spans="1:49" s="64" customFormat="1" x14ac:dyDescent="0.25">
      <c r="A91" s="73" t="s">
        <v>57</v>
      </c>
      <c r="B91" s="73"/>
      <c r="C91" s="67">
        <f t="shared" ref="C91:E98" si="14">C44</f>
        <v>0.17</v>
      </c>
      <c r="D91" s="67">
        <f t="shared" si="14"/>
        <v>1.2999999999999999E-2</v>
      </c>
      <c r="E91" s="181">
        <f t="shared" si="14"/>
        <v>9.75E-3</v>
      </c>
      <c r="G91" s="75"/>
      <c r="H91" s="74">
        <f>H44</f>
        <v>0.71500000000000008</v>
      </c>
      <c r="I91" s="74">
        <f t="shared" ref="I91:I98" si="15">I80</f>
        <v>0.69000000000000006</v>
      </c>
      <c r="J91" s="142">
        <f>[7]Transport50VS!$S$56+[7]Transport50VS!$U$56+[7]Transport50VS!$V$56</f>
        <v>0.44999999999999996</v>
      </c>
      <c r="L91" s="73"/>
      <c r="M91" s="72">
        <f>C91*Labisoit!$J$7*H91</f>
        <v>867.64882481686072</v>
      </c>
      <c r="N91" s="115">
        <f>D91*Labisoit!$J$35*I91</f>
        <v>73.378832575968815</v>
      </c>
      <c r="O91" s="185">
        <f>E91*Labisoit!$J$64*J91</f>
        <v>41.339330735945623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49" s="64" customFormat="1" x14ac:dyDescent="0.25">
      <c r="A92" s="67" t="s">
        <v>56</v>
      </c>
      <c r="B92" s="67"/>
      <c r="C92" s="67">
        <f t="shared" si="14"/>
        <v>0.17</v>
      </c>
      <c r="D92" s="67">
        <f t="shared" si="14"/>
        <v>0.11</v>
      </c>
      <c r="E92" s="181">
        <f t="shared" si="14"/>
        <v>8.2500000000000004E-2</v>
      </c>
      <c r="G92" s="69"/>
      <c r="H92" s="74">
        <f>H45</f>
        <v>0.28499999999999992</v>
      </c>
      <c r="I92" s="68">
        <f t="shared" si="15"/>
        <v>0.29500000000000004</v>
      </c>
      <c r="J92" s="142">
        <f>[7]Transport50VS!$T$56+[7]Transport50VS!$X$56</f>
        <v>0.35000000000000003</v>
      </c>
      <c r="L92" s="67"/>
      <c r="M92" s="72">
        <f>C92*Labisoit!$J$7*H92</f>
        <v>345.8460350668604</v>
      </c>
      <c r="N92" s="115">
        <f>D92*Labisoit!$J$35*I92</f>
        <v>265.45631182722275</v>
      </c>
      <c r="O92" s="185">
        <f>E92*Labisoit!$J$64*J92</f>
        <v>272.06226210836019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49" s="64" customFormat="1" x14ac:dyDescent="0.25">
      <c r="A93" s="67" t="s">
        <v>55</v>
      </c>
      <c r="B93" s="67"/>
      <c r="C93" s="67">
        <f t="shared" si="14"/>
        <v>0.13</v>
      </c>
      <c r="D93" s="67">
        <f t="shared" si="14"/>
        <v>5.8000000000000003E-2</v>
      </c>
      <c r="E93" s="181">
        <f t="shared" si="14"/>
        <v>4.3500000000000004E-2</v>
      </c>
      <c r="G93" s="69"/>
      <c r="H93" s="68">
        <f t="shared" ref="H93:H98" si="16">H82</f>
        <v>0.78700000000000003</v>
      </c>
      <c r="I93" s="68">
        <f t="shared" si="15"/>
        <v>0.48000000000000009</v>
      </c>
      <c r="J93" s="142">
        <f>[7]Transport50VS!$T$57+[7]Transport50VS!$X$57</f>
        <v>0.15000000000000002</v>
      </c>
      <c r="L93" s="67"/>
      <c r="M93" s="71">
        <f>C93*Labisoit!$J$8*'Ohusaaste (joonised)'!H93</f>
        <v>9.9249997932799996</v>
      </c>
      <c r="N93" s="116">
        <f>D93*Labisoit!$J$36*'Ohusaaste (joonised)'!I93</f>
        <v>2.6004362387783102</v>
      </c>
      <c r="O93" s="185">
        <f>E93*Labisoit!$J$65*J93</f>
        <v>0.60738293784416886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49" s="64" customFormat="1" x14ac:dyDescent="0.25">
      <c r="A94" s="67" t="s">
        <v>54</v>
      </c>
      <c r="B94" s="67"/>
      <c r="C94" s="67">
        <f t="shared" si="14"/>
        <v>0.81</v>
      </c>
      <c r="D94" s="67">
        <f t="shared" si="14"/>
        <v>0.4</v>
      </c>
      <c r="E94" s="181">
        <f t="shared" si="14"/>
        <v>0.30000000000000004</v>
      </c>
      <c r="G94" s="69"/>
      <c r="H94" s="68">
        <f t="shared" si="16"/>
        <v>0.2</v>
      </c>
      <c r="I94" s="68">
        <f t="shared" si="15"/>
        <v>0.39999999999999997</v>
      </c>
      <c r="J94" s="142">
        <f>[7]Transport50VS!$U$57+[7]Transport50VS!$Z$57</f>
        <v>0.6</v>
      </c>
      <c r="L94" s="67"/>
      <c r="M94" s="70">
        <f>C94*Labisoit!$J$8*'Ohusaaste (joonised)'!H94</f>
        <v>15.715472256000002</v>
      </c>
      <c r="N94" s="120">
        <f>D94*Labisoit!$J$36*'Ohusaaste (joonised)'!I94</f>
        <v>14.945035855047756</v>
      </c>
      <c r="O94" s="185">
        <f>E94*Labisoit!$J$65*J94</f>
        <v>16.755391388804657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49" s="64" customFormat="1" x14ac:dyDescent="0.25">
      <c r="A95" s="67" t="s">
        <v>53</v>
      </c>
      <c r="B95" s="67"/>
      <c r="C95" s="67">
        <f t="shared" si="14"/>
        <v>4.2000000000000003E-2</v>
      </c>
      <c r="D95" s="67">
        <f t="shared" si="14"/>
        <v>2.2000000000000001E-3</v>
      </c>
      <c r="E95" s="181">
        <f t="shared" si="14"/>
        <v>1.65E-3</v>
      </c>
      <c r="G95" s="69"/>
      <c r="H95" s="68">
        <f t="shared" si="16"/>
        <v>0.87</v>
      </c>
      <c r="I95" s="68">
        <f t="shared" si="15"/>
        <v>0.73499999999999999</v>
      </c>
      <c r="J95" s="142">
        <f>[7]Transport50VS!$T$63</f>
        <v>0.72</v>
      </c>
      <c r="L95" s="67"/>
      <c r="M95" s="71">
        <f>C95*Labisoit!$E$21*'Ohusaaste (joonised)'!H95</f>
        <v>233.46847276458013</v>
      </c>
      <c r="N95" s="116">
        <f>D95*Labisoit!$E$50*'Ohusaaste (joonised)'!I95</f>
        <v>12.749137521434836</v>
      </c>
      <c r="O95" s="185">
        <f>E95*Labisoit!$E$79*J95</f>
        <v>9.9618710981246359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</row>
    <row r="96" spans="1:49" s="64" customFormat="1" x14ac:dyDescent="0.25">
      <c r="A96" s="67" t="s">
        <v>46</v>
      </c>
      <c r="B96" s="67"/>
      <c r="C96" s="67">
        <f t="shared" si="14"/>
        <v>0.252</v>
      </c>
      <c r="D96" s="67">
        <f t="shared" si="14"/>
        <v>0.126</v>
      </c>
      <c r="E96" s="181">
        <f t="shared" si="14"/>
        <v>9.4500000000000001E-2</v>
      </c>
      <c r="G96" s="69"/>
      <c r="H96" s="68">
        <f t="shared" si="16"/>
        <v>0.05</v>
      </c>
      <c r="I96" s="68">
        <f t="shared" si="15"/>
        <v>0.25</v>
      </c>
      <c r="J96" s="142">
        <f>[7]Transport50VS!$U$63+[7]Transport50VS!$Z$63</f>
        <v>0.25</v>
      </c>
      <c r="L96" s="67"/>
      <c r="M96" s="70">
        <f>C96*Labisoit!$E$21*'Ohusaaste (joonised)'!H96</f>
        <v>80.506369918820724</v>
      </c>
      <c r="N96" s="120">
        <f>D96*Labisoit!$E$50*'Ohusaaste (joonised)'!I96</f>
        <v>248.35982184613317</v>
      </c>
      <c r="O96" s="185">
        <f>E96*Labisoit!$E$79*J96</f>
        <v>198.10539115588765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</row>
    <row r="97" spans="1:49" s="64" customFormat="1" x14ac:dyDescent="0.25">
      <c r="A97" s="67" t="s">
        <v>52</v>
      </c>
      <c r="B97" s="67"/>
      <c r="C97" s="67">
        <f t="shared" si="14"/>
        <v>7.1999999999999998E-3</v>
      </c>
      <c r="D97" s="67">
        <f t="shared" si="14"/>
        <v>7.1999999999999998E-3</v>
      </c>
      <c r="E97" s="181">
        <f t="shared" si="14"/>
        <v>5.4000000000000003E-3</v>
      </c>
      <c r="G97" s="69"/>
      <c r="H97" s="68">
        <f t="shared" si="16"/>
        <v>0.3</v>
      </c>
      <c r="I97" s="68">
        <f t="shared" si="15"/>
        <v>0.24999999999999997</v>
      </c>
      <c r="J97" s="142">
        <f>[7]Transport50VS!$T$58</f>
        <v>0</v>
      </c>
      <c r="L97" s="67"/>
      <c r="M97" s="91">
        <f>C97*Labisoit!$E$9*H97</f>
        <v>1.63702836</v>
      </c>
      <c r="N97" s="91">
        <f>D97*Labisoit!$E$37*I97</f>
        <v>1.5284695760844293</v>
      </c>
      <c r="O97" s="185">
        <f>E97*Labisoit!$E$66*J97</f>
        <v>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</row>
    <row r="98" spans="1:49" s="64" customFormat="1" ht="13.8" thickBot="1" x14ac:dyDescent="0.3">
      <c r="A98" s="63" t="s">
        <v>51</v>
      </c>
      <c r="B98" s="63"/>
      <c r="C98" s="67">
        <f t="shared" si="14"/>
        <v>3.6999999999999998E-2</v>
      </c>
      <c r="D98" s="67">
        <f t="shared" si="14"/>
        <v>3.6999999999999998E-2</v>
      </c>
      <c r="E98" s="181">
        <f t="shared" si="14"/>
        <v>2.7749999999999997E-2</v>
      </c>
      <c r="G98" s="66"/>
      <c r="H98" s="68">
        <f t="shared" si="16"/>
        <v>1</v>
      </c>
      <c r="I98" s="68">
        <f t="shared" si="15"/>
        <v>0.85</v>
      </c>
      <c r="J98" s="142">
        <f>[7]Transport50VS!$T$64</f>
        <v>0.55000000000000004</v>
      </c>
      <c r="L98" s="63"/>
      <c r="M98" s="62">
        <f>C98*Labisoit!$E$22*'Ohusaaste (joonised)'!H98</f>
        <v>266.58728708343034</v>
      </c>
      <c r="N98" s="117">
        <f>D98*Labisoit!$E$51*'Ohusaaste (joonised)'!I98</f>
        <v>219.89402255876706</v>
      </c>
      <c r="O98" s="185">
        <f>E98*Labisoit!$E$80*J98</f>
        <v>113.4938013603167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</row>
    <row r="99" spans="1:49" s="64" customFormat="1" ht="13.8" thickBot="1" x14ac:dyDescent="0.3">
      <c r="A99" s="89"/>
      <c r="B99" s="57"/>
      <c r="C99" s="159"/>
      <c r="D99" s="159"/>
      <c r="E99" s="57"/>
      <c r="G99" s="82"/>
      <c r="H99" s="81"/>
      <c r="I99" s="87"/>
      <c r="J99" s="130"/>
      <c r="L99" s="57">
        <v>2578</v>
      </c>
      <c r="M99" s="58">
        <f>SUM(M91:M98)</f>
        <v>1821.3344900598324</v>
      </c>
      <c r="N99" s="118">
        <f>SUM(N91:N98)</f>
        <v>838.91206799943711</v>
      </c>
      <c r="O99" s="186">
        <f>SUM(O91:O98)</f>
        <v>652.32543078528352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</row>
    <row r="100" spans="1:49" s="64" customFormat="1" x14ac:dyDescent="0.25">
      <c r="G100" s="131"/>
      <c r="I100" s="169"/>
      <c r="J100" s="170"/>
      <c r="L100" s="171"/>
      <c r="M100" s="105"/>
      <c r="N100" s="105"/>
      <c r="O100" s="105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</row>
    <row r="101" spans="1:49" s="64" customFormat="1" ht="13.8" thickBot="1" x14ac:dyDescent="0.3">
      <c r="G101" s="131"/>
      <c r="I101" s="169"/>
      <c r="J101" s="170"/>
      <c r="L101" s="171"/>
      <c r="M101" s="105"/>
      <c r="N101" s="105"/>
      <c r="O101" s="105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</row>
    <row r="102" spans="1:49" s="164" customFormat="1" ht="13.8" thickBot="1" x14ac:dyDescent="0.3">
      <c r="A102" s="165" t="s">
        <v>41</v>
      </c>
      <c r="B102" s="163"/>
      <c r="C102" s="163"/>
      <c r="D102" s="163"/>
      <c r="G102" s="200"/>
      <c r="H102" s="163"/>
      <c r="I102" s="163"/>
      <c r="J102" s="201"/>
      <c r="K102" s="163"/>
      <c r="L102" s="163"/>
      <c r="M102" s="163"/>
      <c r="N102" s="163"/>
      <c r="O102" s="163"/>
    </row>
    <row r="103" spans="1:49" s="164" customFormat="1" x14ac:dyDescent="0.25">
      <c r="A103" s="165" t="s">
        <v>41</v>
      </c>
      <c r="B103" s="163"/>
      <c r="C103" s="163"/>
      <c r="D103" s="163"/>
      <c r="G103" s="165" t="s">
        <v>41</v>
      </c>
      <c r="H103" s="166"/>
      <c r="I103" s="166"/>
      <c r="J103" s="167"/>
      <c r="K103" s="168"/>
      <c r="L103" s="168" t="s">
        <v>41</v>
      </c>
      <c r="M103" s="166"/>
      <c r="N103" s="167"/>
      <c r="O103" s="163"/>
    </row>
    <row r="104" spans="1:49" s="109" customFormat="1" ht="13.8" thickBot="1" x14ac:dyDescent="0.3">
      <c r="G104" s="198" t="s">
        <v>48</v>
      </c>
      <c r="H104" s="112"/>
      <c r="I104" s="112"/>
      <c r="J104" s="199"/>
      <c r="K104" s="112"/>
      <c r="L104" s="263" t="s">
        <v>47</v>
      </c>
      <c r="M104" s="263"/>
      <c r="N104" s="270"/>
      <c r="O104" s="206"/>
    </row>
    <row r="105" spans="1:49" s="57" customFormat="1" ht="13.8" thickBot="1" x14ac:dyDescent="0.3">
      <c r="A105" s="61" t="str">
        <f t="shared" ref="A105:E113" si="17">A10</f>
        <v xml:space="preserve">NOx </v>
      </c>
      <c r="B105" s="60">
        <f t="shared" si="17"/>
        <v>2010</v>
      </c>
      <c r="C105" s="60">
        <f t="shared" si="17"/>
        <v>2020</v>
      </c>
      <c r="D105" s="60">
        <f t="shared" si="17"/>
        <v>2030</v>
      </c>
      <c r="E105" s="108">
        <v>2050</v>
      </c>
      <c r="G105" s="61">
        <v>2010</v>
      </c>
      <c r="H105" s="60">
        <v>2020</v>
      </c>
      <c r="I105" s="60">
        <v>2030</v>
      </c>
      <c r="J105" s="127">
        <v>2050</v>
      </c>
      <c r="L105" s="61">
        <v>2010</v>
      </c>
      <c r="M105" s="60">
        <v>2020</v>
      </c>
      <c r="N105" s="119">
        <v>2030</v>
      </c>
      <c r="O105" s="125">
        <v>2050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</row>
    <row r="106" spans="1:49" x14ac:dyDescent="0.25">
      <c r="A106" s="73" t="str">
        <f t="shared" si="17"/>
        <v>Sõiduauto, bensiin, gaas, etanool - sõiduki-km</v>
      </c>
      <c r="B106" s="73">
        <f t="shared" si="17"/>
        <v>0</v>
      </c>
      <c r="C106" s="73">
        <f t="shared" si="17"/>
        <v>0.33</v>
      </c>
      <c r="D106" s="73">
        <f t="shared" si="17"/>
        <v>0.12666666666666668</v>
      </c>
      <c r="E106" s="179">
        <f t="shared" si="17"/>
        <v>9.5000000000000001E-2</v>
      </c>
      <c r="G106" s="75"/>
      <c r="H106" s="79">
        <f>[2]TransportB_EE!$S$56+[2]TransportB_EE!$U$56+[2]TransportB_EE!$V$56+[2]TransportB_EE!$Z$56</f>
        <v>0.74</v>
      </c>
      <c r="I106" s="79">
        <f>[6]Transport30B_EE!$S$56+[6]Transport30B_EE!$U$56+[6]Transport30B_EE!$V$56+[6]Transport30B_EE!$Z$56</f>
        <v>0.7</v>
      </c>
      <c r="J106" s="142">
        <f>[7]TransportB_EE!$S$56+[7]TransportB_EE!$U$56+[7]TransportB_EE!$V$56+[7]TransportB_EE!$Z$56</f>
        <v>0.57000000000000006</v>
      </c>
      <c r="K106" s="64"/>
      <c r="L106" s="75"/>
      <c r="M106" s="72">
        <f>C106*Labisoit!$I$7*H106</f>
        <v>1663.6232097135794</v>
      </c>
      <c r="N106" s="115">
        <f>D106*Labisoit!$I$35*I106</f>
        <v>574.14103394585572</v>
      </c>
      <c r="O106" s="185">
        <f>E106*Labisoit!$I$64*J106</f>
        <v>349.25807387208806</v>
      </c>
    </row>
    <row r="107" spans="1:49" x14ac:dyDescent="0.25">
      <c r="A107" s="67" t="str">
        <f t="shared" si="17"/>
        <v>Sõiduauto, diisel, biodiisel</v>
      </c>
      <c r="B107" s="67">
        <f t="shared" si="17"/>
        <v>0</v>
      </c>
      <c r="C107" s="67">
        <f t="shared" si="17"/>
        <v>0.53</v>
      </c>
      <c r="D107" s="73">
        <f t="shared" si="17"/>
        <v>0.2</v>
      </c>
      <c r="E107" s="179">
        <f t="shared" si="17"/>
        <v>0.15000000000000002</v>
      </c>
      <c r="G107" s="69"/>
      <c r="H107" s="78">
        <f>[2]TransportB_EE!$T$56</f>
        <v>0.255</v>
      </c>
      <c r="I107" s="78">
        <f>[6]Transport30B_EE!$T$56</f>
        <v>0.22999999999999998</v>
      </c>
      <c r="J107" s="142">
        <f>[7]TransportB_EE!$T$56</f>
        <v>0.17999999999999994</v>
      </c>
      <c r="K107" s="64"/>
      <c r="L107" s="69"/>
      <c r="M107" s="72">
        <f>C107*Labisoit!$I$7*H107</f>
        <v>920.71530218177827</v>
      </c>
      <c r="N107" s="115">
        <f>D107*Labisoit!$I$35*I107</f>
        <v>297.86264167115826</v>
      </c>
      <c r="O107" s="185">
        <f>E107*Labisoit!$I$64*J107</f>
        <v>174.14529999162281</v>
      </c>
    </row>
    <row r="108" spans="1:49" x14ac:dyDescent="0.25">
      <c r="A108" s="67" t="str">
        <f t="shared" si="17"/>
        <v>Buss, diisel, biodiisel - sõiduki-km</v>
      </c>
      <c r="B108" s="67">
        <f t="shared" si="17"/>
        <v>0</v>
      </c>
      <c r="C108" s="67">
        <f t="shared" si="17"/>
        <v>7.1</v>
      </c>
      <c r="D108" s="73">
        <f t="shared" si="17"/>
        <v>3.55</v>
      </c>
      <c r="E108" s="179">
        <f t="shared" si="17"/>
        <v>2.6624999999999996</v>
      </c>
      <c r="G108" s="69"/>
      <c r="H108" s="78">
        <f>[2]TransportB_EE!$T$57</f>
        <v>0.78500000000000003</v>
      </c>
      <c r="I108" s="78">
        <f>[6]Transport30B_EE!$T$57</f>
        <v>0.40000000000000008</v>
      </c>
      <c r="J108" s="142">
        <f>[7]TransportB_EE!$T$57</f>
        <v>0</v>
      </c>
      <c r="K108" s="64"/>
      <c r="L108" s="69"/>
      <c r="M108" s="71">
        <f>C108*Labisoit!$I$8*'Ohusaaste (joonised)'!H108</f>
        <v>519.58554882280373</v>
      </c>
      <c r="N108" s="116">
        <f>D108*Labisoit!$I$36*'Ohusaaste (joonised)'!I108</f>
        <v>118.67538340159633</v>
      </c>
      <c r="O108" s="185">
        <f>E108*Labisoit!$I$65*J108</f>
        <v>0</v>
      </c>
    </row>
    <row r="109" spans="1:49" x14ac:dyDescent="0.25">
      <c r="A109" s="67" t="str">
        <f t="shared" si="17"/>
        <v>Buss, gaas</v>
      </c>
      <c r="B109" s="67">
        <f t="shared" si="17"/>
        <v>0</v>
      </c>
      <c r="C109" s="67">
        <f t="shared" si="17"/>
        <v>2.1</v>
      </c>
      <c r="D109" s="73">
        <f t="shared" si="17"/>
        <v>0.7</v>
      </c>
      <c r="E109" s="179">
        <f t="shared" si="17"/>
        <v>0.52499999999999991</v>
      </c>
      <c r="G109" s="69"/>
      <c r="H109" s="78">
        <f>[2]TransportB_EE!$Z$57</f>
        <v>0.15</v>
      </c>
      <c r="I109" s="78">
        <f>[6]Transport30B_EE!$U$57+[6]Transport30B_EE!$Z$57</f>
        <v>0.39999999999999997</v>
      </c>
      <c r="J109" s="142">
        <f>[7]TransportB_EE!$U$57+[7]TransportB_EE!$Z$57</f>
        <v>0.65</v>
      </c>
      <c r="K109" s="64"/>
      <c r="L109" s="69"/>
      <c r="M109" s="71">
        <f>C109*Labisoit!$I$8*'Ohusaaste (joonised)'!H109</f>
        <v>29.365649570141414</v>
      </c>
      <c r="N109" s="116">
        <f>D109*Labisoit!$I$36*'Ohusaaste (joonised)'!I109</f>
        <v>23.400779825666877</v>
      </c>
      <c r="O109" s="185">
        <f>E109*Labisoit!$I$65*J109</f>
        <v>25.579225182703457</v>
      </c>
    </row>
    <row r="110" spans="1:49" x14ac:dyDescent="0.25">
      <c r="A110" s="67" t="str">
        <f t="shared" si="17"/>
        <v>Veoauto, diisel NB -Tonn-km kohta</v>
      </c>
      <c r="B110" s="67">
        <f t="shared" si="17"/>
        <v>0</v>
      </c>
      <c r="C110" s="67">
        <f t="shared" si="17"/>
        <v>0.7</v>
      </c>
      <c r="D110" s="73">
        <f t="shared" si="17"/>
        <v>0.35</v>
      </c>
      <c r="E110" s="179">
        <f t="shared" si="17"/>
        <v>0.26249999999999996</v>
      </c>
      <c r="G110" s="69"/>
      <c r="H110" s="78">
        <f>[2]TransportB_EE!$T$63</f>
        <v>0.88</v>
      </c>
      <c r="I110" s="78">
        <f>[6]Transport30B_EE!$T$63</f>
        <v>0.64999999999999991</v>
      </c>
      <c r="J110" s="142">
        <f>[7]TransportB_EE!$T$63</f>
        <v>0.5</v>
      </c>
      <c r="K110" s="64"/>
      <c r="L110" s="69"/>
      <c r="M110" s="71">
        <f>C110*Labisoit!$D$21*'Ohusaaste (joonised)'!H110</f>
        <v>3600.8995717827147</v>
      </c>
      <c r="N110" s="116">
        <f>D110*Labisoit!$D$50*'Ohusaaste (joonised)'!I110</f>
        <v>1266.1489922413405</v>
      </c>
      <c r="O110" s="185">
        <f>E110*Labisoit!$D$79*J110</f>
        <v>699.14731745703023</v>
      </c>
    </row>
    <row r="111" spans="1:49" x14ac:dyDescent="0.25">
      <c r="A111" s="67" t="s">
        <v>46</v>
      </c>
      <c r="B111" s="67">
        <f t="shared" si="17"/>
        <v>0</v>
      </c>
      <c r="C111" s="67">
        <f t="shared" si="17"/>
        <v>0.25</v>
      </c>
      <c r="D111" s="73">
        <f t="shared" si="17"/>
        <v>0.125</v>
      </c>
      <c r="E111" s="179">
        <f t="shared" si="17"/>
        <v>9.375E-2</v>
      </c>
      <c r="G111" s="69"/>
      <c r="H111" s="78">
        <f>[2]TransportB_EE!$Z$63</f>
        <v>0.08</v>
      </c>
      <c r="I111" s="78">
        <f>[6]Transport30B_EE!$U$63+[6]Transport30B_EE!$Z$63</f>
        <v>0.30000000000000004</v>
      </c>
      <c r="J111" s="142">
        <f>[7]TransportB_EE!$U$63+[7]TransportB_EE!$Z$63</f>
        <v>0.4</v>
      </c>
      <c r="L111" s="69"/>
      <c r="M111" s="71">
        <f>C111*Labisoit!$D$21*'Ohusaaste (joonised)'!H111</f>
        <v>116.91232375917906</v>
      </c>
      <c r="N111" s="148">
        <f>D111*Labisoit!$D$50*'Ohusaaste (joonised)'!I111</f>
        <v>208.70587784197929</v>
      </c>
      <c r="O111" s="185">
        <f>E111*Labisoit!$D$79*J111</f>
        <v>199.75637641629439</v>
      </c>
    </row>
    <row r="112" spans="1:49" x14ac:dyDescent="0.25">
      <c r="A112" s="67" t="str">
        <f>A17</f>
        <v>Reisirong, diisel, reisija_km kohta</v>
      </c>
      <c r="B112" s="67">
        <f t="shared" si="17"/>
        <v>0</v>
      </c>
      <c r="C112" s="67">
        <f t="shared" si="17"/>
        <v>0.2</v>
      </c>
      <c r="D112" s="73">
        <f t="shared" si="17"/>
        <v>0.2</v>
      </c>
      <c r="E112" s="179">
        <f t="shared" si="17"/>
        <v>0.15000000000000002</v>
      </c>
      <c r="G112" s="69"/>
      <c r="H112" s="147">
        <f>[2]TransportB_EE!$T$58+[2]TransportB_EE!$X$58</f>
        <v>0.30000000000000004</v>
      </c>
      <c r="I112" s="147">
        <f>[6]Transport30B_EE!$T$58</f>
        <v>0.19999999999999996</v>
      </c>
      <c r="J112" s="142">
        <f>[7]TransportB_EE!$T$58</f>
        <v>0</v>
      </c>
      <c r="K112" s="64"/>
      <c r="L112" s="69"/>
      <c r="M112" s="121">
        <f>C112*Labisoit!$D$9*H112</f>
        <v>51.631911332116786</v>
      </c>
      <c r="N112" s="92">
        <f>D112*Labisoit!$D$37*I112</f>
        <v>72.937495560520119</v>
      </c>
      <c r="O112" s="185">
        <f>E112*Labisoit!$D$66*J112</f>
        <v>0</v>
      </c>
    </row>
    <row r="113" spans="1:49" ht="13.8" thickBot="1" x14ac:dyDescent="0.3">
      <c r="A113" s="67" t="str">
        <f>A18</f>
        <v>Kaubarong, g/tonn-km</v>
      </c>
      <c r="B113" s="67">
        <f t="shared" si="17"/>
        <v>0</v>
      </c>
      <c r="C113" s="67">
        <f t="shared" si="17"/>
        <v>0.32</v>
      </c>
      <c r="D113" s="73">
        <f t="shared" si="17"/>
        <v>0.10560000000000001</v>
      </c>
      <c r="E113" s="179">
        <f t="shared" si="17"/>
        <v>7.9200000000000007E-2</v>
      </c>
      <c r="G113" s="66"/>
      <c r="H113" s="77">
        <f>[2]TransportB_EE!$T$64+[2]TransportB_EE!$X$64</f>
        <v>1</v>
      </c>
      <c r="I113" s="77">
        <f>[6]Transport30B_EE!$T$64</f>
        <v>0.85</v>
      </c>
      <c r="J113" s="142">
        <f>[7]TransportB_EE!$T$64</f>
        <v>0.19999999999999996</v>
      </c>
      <c r="K113" s="64"/>
      <c r="L113" s="66"/>
      <c r="M113" s="62">
        <f>C113*Labisoit!$D$22*'Ohusaaste (joonised)'!H113</f>
        <v>2479.6288201946804</v>
      </c>
      <c r="N113" s="117">
        <f>D113*Labisoit!$D$51*'Ohusaaste (joonised)'!I113</f>
        <v>749.33758380384234</v>
      </c>
      <c r="O113" s="185">
        <f>E113*Labisoit!$D$80*J113</f>
        <v>126.56564009736407</v>
      </c>
    </row>
    <row r="114" spans="1:49" ht="13.8" thickBot="1" x14ac:dyDescent="0.3">
      <c r="B114" s="67"/>
      <c r="C114" s="67"/>
      <c r="D114" s="67"/>
      <c r="G114" s="61"/>
      <c r="H114" s="60"/>
      <c r="I114" s="88" t="str">
        <f>I19</f>
        <v>Kokku</v>
      </c>
      <c r="J114" s="116"/>
      <c r="K114" s="57"/>
      <c r="L114" s="61">
        <v>12368</v>
      </c>
      <c r="M114" s="58">
        <f>SUM(M106:M113)</f>
        <v>9382.3623373569935</v>
      </c>
      <c r="N114" s="118">
        <f>SUM(N106:N113)</f>
        <v>3311.2097882919593</v>
      </c>
      <c r="O114" s="186">
        <f>SUM(O106:O113)</f>
        <v>1574.4519330171031</v>
      </c>
    </row>
    <row r="115" spans="1:49" s="109" customFormat="1" ht="13.8" thickBot="1" x14ac:dyDescent="0.3">
      <c r="A115" s="205"/>
      <c r="B115" s="205"/>
      <c r="C115" s="205"/>
      <c r="D115" s="205"/>
      <c r="G115" s="198" t="s">
        <v>48</v>
      </c>
      <c r="H115" s="110"/>
      <c r="I115" s="110"/>
      <c r="J115" s="199"/>
      <c r="K115" s="112"/>
      <c r="L115" s="264" t="s">
        <v>101</v>
      </c>
      <c r="M115" s="263"/>
      <c r="N115" s="263"/>
      <c r="O115" s="124"/>
    </row>
    <row r="116" spans="1:49" s="108" customFormat="1" ht="13.8" thickBot="1" x14ac:dyDescent="0.3">
      <c r="A116" s="106" t="str">
        <f t="shared" ref="A116:E124" si="18">A21</f>
        <v>PM2,5</v>
      </c>
      <c r="B116" s="107">
        <f t="shared" si="18"/>
        <v>2010</v>
      </c>
      <c r="C116" s="107">
        <f t="shared" si="18"/>
        <v>2020</v>
      </c>
      <c r="D116" s="107">
        <f t="shared" si="18"/>
        <v>2030</v>
      </c>
      <c r="E116" s="108">
        <v>2050</v>
      </c>
      <c r="G116" s="106">
        <v>2010</v>
      </c>
      <c r="H116" s="107">
        <v>2020</v>
      </c>
      <c r="I116" s="107">
        <v>2030</v>
      </c>
      <c r="J116" s="127">
        <v>2050</v>
      </c>
      <c r="L116" s="106">
        <v>2010</v>
      </c>
      <c r="M116" s="107">
        <v>2020</v>
      </c>
      <c r="N116" s="114">
        <v>2030</v>
      </c>
      <c r="O116" s="123">
        <v>2050</v>
      </c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</row>
    <row r="117" spans="1:49" x14ac:dyDescent="0.25">
      <c r="A117" s="73" t="str">
        <f t="shared" si="18"/>
        <v>Sõiduauto, bensiin, gaas, etanool</v>
      </c>
      <c r="B117" s="73">
        <f t="shared" si="18"/>
        <v>0</v>
      </c>
      <c r="C117" s="73">
        <f t="shared" si="18"/>
        <v>3.3E-3</v>
      </c>
      <c r="D117" s="73">
        <f t="shared" si="18"/>
        <v>2E-3</v>
      </c>
      <c r="E117" s="179">
        <f t="shared" si="18"/>
        <v>1.5E-3</v>
      </c>
      <c r="G117" s="75"/>
      <c r="H117" s="74">
        <f t="shared" ref="H117:I124" si="19">H106</f>
        <v>0.74</v>
      </c>
      <c r="I117" s="74">
        <f t="shared" si="19"/>
        <v>0.7</v>
      </c>
      <c r="J117" s="142">
        <f>[7]TransportB_EE!$S$56+[7]TransportB_EE!$U$56+[7]TransportB_EE!$V$56+[7]TransportB_EE!$Z$56</f>
        <v>0.57000000000000006</v>
      </c>
      <c r="K117" s="64"/>
      <c r="L117" s="75"/>
      <c r="M117" s="72">
        <f>C117*Labisoit!$I$7*H117</f>
        <v>16.636232097135792</v>
      </c>
      <c r="N117" s="115">
        <f>D117*Labisoit!$I$35*I117</f>
        <v>9.0653847465135104</v>
      </c>
      <c r="O117" s="185">
        <f>E117*Labisoit!$I$64*J117</f>
        <v>5.5146011664013903</v>
      </c>
    </row>
    <row r="118" spans="1:49" x14ac:dyDescent="0.25">
      <c r="A118" s="67" t="str">
        <f t="shared" si="18"/>
        <v>Sõiduauto, diisel, biodiisel</v>
      </c>
      <c r="B118" s="67">
        <f t="shared" si="18"/>
        <v>0</v>
      </c>
      <c r="C118" s="67">
        <f t="shared" si="18"/>
        <v>2.9000000000000001E-2</v>
      </c>
      <c r="D118" s="67">
        <f t="shared" si="18"/>
        <v>1.4999999999999999E-2</v>
      </c>
      <c r="E118" s="179">
        <f>E23</f>
        <v>1.125E-2</v>
      </c>
      <c r="G118" s="69"/>
      <c r="H118" s="68">
        <f t="shared" si="19"/>
        <v>0.255</v>
      </c>
      <c r="I118" s="68">
        <f t="shared" si="19"/>
        <v>0.22999999999999998</v>
      </c>
      <c r="J118" s="142">
        <f>[7]TransportB_EE!$T$56</f>
        <v>0.17999999999999994</v>
      </c>
      <c r="K118" s="64"/>
      <c r="L118" s="69"/>
      <c r="M118" s="72">
        <f>C118*Labisoit!$I$7*H118</f>
        <v>50.378761817493526</v>
      </c>
      <c r="N118" s="115">
        <f>D118*Labisoit!$I$35*I118</f>
        <v>22.339698125336866</v>
      </c>
      <c r="O118" s="185">
        <f>E118*Labisoit!$I$64*J118</f>
        <v>13.060897499371707</v>
      </c>
    </row>
    <row r="119" spans="1:49" x14ac:dyDescent="0.25">
      <c r="A119" s="67" t="str">
        <f t="shared" si="18"/>
        <v>Buss, diisel, biodiisel</v>
      </c>
      <c r="B119" s="67">
        <f t="shared" si="18"/>
        <v>0</v>
      </c>
      <c r="C119" s="67">
        <f t="shared" si="18"/>
        <v>0.17</v>
      </c>
      <c r="D119" s="67">
        <f t="shared" si="18"/>
        <v>1.4999999999999999E-2</v>
      </c>
      <c r="E119" s="179">
        <f>E24</f>
        <v>1.125E-2</v>
      </c>
      <c r="G119" s="69"/>
      <c r="H119" s="68">
        <f t="shared" si="19"/>
        <v>0.78500000000000003</v>
      </c>
      <c r="I119" s="68">
        <f t="shared" si="19"/>
        <v>0.40000000000000008</v>
      </c>
      <c r="J119" s="142">
        <f>[7]TransportB_EE!$T$57</f>
        <v>0</v>
      </c>
      <c r="K119" s="64"/>
      <c r="L119" s="69"/>
      <c r="M119" s="71">
        <f>C119*Labisoit!$I$8*'Ohusaaste (joonised)'!H119</f>
        <v>12.440780746461499</v>
      </c>
      <c r="N119" s="116">
        <f>D119*Labisoit!$I$36*'Ohusaaste (joonised)'!I119</f>
        <v>0.50144528197857607</v>
      </c>
      <c r="O119" s="185">
        <f>E119*Labisoit!$I$65*J119</f>
        <v>0</v>
      </c>
    </row>
    <row r="120" spans="1:49" x14ac:dyDescent="0.25">
      <c r="A120" s="67" t="str">
        <f t="shared" si="18"/>
        <v>Buss, gaas, etanool</v>
      </c>
      <c r="B120" s="67">
        <f t="shared" si="18"/>
        <v>0</v>
      </c>
      <c r="C120" s="67">
        <f t="shared" si="18"/>
        <v>8.0999999999999996E-3</v>
      </c>
      <c r="D120" s="67">
        <f t="shared" si="18"/>
        <v>8.0999999999999996E-3</v>
      </c>
      <c r="E120" s="179">
        <f>E25</f>
        <v>6.0749999999999997E-3</v>
      </c>
      <c r="G120" s="69"/>
      <c r="H120" s="68">
        <f t="shared" si="19"/>
        <v>0.15</v>
      </c>
      <c r="I120" s="68">
        <f t="shared" si="19"/>
        <v>0.39999999999999997</v>
      </c>
      <c r="J120" s="142">
        <f>[7]TransportB_EE!$U$57+[7]TransportB_EE!$Z$57</f>
        <v>0.65</v>
      </c>
      <c r="K120" s="64"/>
      <c r="L120" s="69"/>
      <c r="M120" s="70">
        <f>C120*Labisoit!$I$8*'Ohusaaste (joonised)'!H120</f>
        <v>0.11326750548483117</v>
      </c>
      <c r="N120" s="120">
        <f>D120*Labisoit!$I$36*'Ohusaaste (joonised)'!I120</f>
        <v>0.270780452268431</v>
      </c>
      <c r="O120" s="185">
        <f>E120*Labisoit!$I$65*J120</f>
        <v>0.29598817711414005</v>
      </c>
    </row>
    <row r="121" spans="1:49" x14ac:dyDescent="0.25">
      <c r="A121" s="67" t="str">
        <f t="shared" si="18"/>
        <v>Veoauto NB -Tonn-km kohta</v>
      </c>
      <c r="B121" s="67">
        <f t="shared" si="18"/>
        <v>0</v>
      </c>
      <c r="C121" s="67">
        <f t="shared" si="18"/>
        <v>1.6E-2</v>
      </c>
      <c r="D121" s="67">
        <f t="shared" si="18"/>
        <v>5.3333333333333332E-3</v>
      </c>
      <c r="E121" s="179">
        <f>E26</f>
        <v>4.0000000000000001E-3</v>
      </c>
      <c r="G121" s="69"/>
      <c r="H121" s="68">
        <f t="shared" si="19"/>
        <v>0.88</v>
      </c>
      <c r="I121" s="68">
        <f t="shared" si="19"/>
        <v>0.64999999999999991</v>
      </c>
      <c r="J121" s="142">
        <f>[7]TransportB_EE!$T$63</f>
        <v>0.5</v>
      </c>
      <c r="K121" s="64"/>
      <c r="L121" s="69"/>
      <c r="M121" s="71">
        <f>C121*Labisoit!$D$21*'Ohusaaste (joonised)'!H121</f>
        <v>82.306275926462064</v>
      </c>
      <c r="N121" s="116">
        <f>D121*Labisoit!$D$50*'Ohusaaste (joonised)'!I121</f>
        <v>19.293698929391855</v>
      </c>
      <c r="O121" s="185">
        <f>E121*Labisoit!$D$79*J121</f>
        <v>10.653673408869034</v>
      </c>
    </row>
    <row r="122" spans="1:49" x14ac:dyDescent="0.25">
      <c r="A122" s="67" t="s">
        <v>46</v>
      </c>
      <c r="B122" s="67">
        <f t="shared" si="18"/>
        <v>0</v>
      </c>
      <c r="C122" s="67">
        <f t="shared" si="18"/>
        <v>8.0000000000000004E-4</v>
      </c>
      <c r="D122" s="67">
        <f t="shared" si="18"/>
        <v>2.6666666666666668E-4</v>
      </c>
      <c r="E122" s="179">
        <f t="shared" si="18"/>
        <v>2.0000000000000001E-4</v>
      </c>
      <c r="G122" s="69"/>
      <c r="H122" s="68">
        <f t="shared" si="19"/>
        <v>0.08</v>
      </c>
      <c r="I122" s="68">
        <f t="shared" si="19"/>
        <v>0.30000000000000004</v>
      </c>
      <c r="J122" s="142">
        <f>[7]TransportB_EE!$U$63+[7]TransportB_EE!$Z$63</f>
        <v>0.4</v>
      </c>
      <c r="L122" s="69"/>
      <c r="M122" s="70">
        <f>C122*Labisoit!$D$21*'Ohusaaste (joonised)'!H122</f>
        <v>0.37411943602937298</v>
      </c>
      <c r="N122" s="120">
        <f>D122*Labisoit!$D$50*'Ohusaaste (joonised)'!I122</f>
        <v>0.44523920606288914</v>
      </c>
      <c r="O122" s="185">
        <f>E122*Labisoit!$D$79*J122</f>
        <v>0.42614693635476136</v>
      </c>
    </row>
    <row r="123" spans="1:49" x14ac:dyDescent="0.25">
      <c r="A123" s="67" t="str">
        <f>A28</f>
        <v>Reisirong, g/reisija-km</v>
      </c>
      <c r="B123" s="67">
        <f t="shared" si="18"/>
        <v>0</v>
      </c>
      <c r="C123" s="67">
        <f t="shared" si="18"/>
        <v>2E-3</v>
      </c>
      <c r="D123" s="67">
        <f t="shared" si="18"/>
        <v>2E-3</v>
      </c>
      <c r="E123" s="179">
        <f t="shared" si="18"/>
        <v>1.5E-3</v>
      </c>
      <c r="G123" s="69"/>
      <c r="H123" s="68">
        <f t="shared" si="19"/>
        <v>0.30000000000000004</v>
      </c>
      <c r="I123" s="68">
        <f t="shared" si="19"/>
        <v>0.19999999999999996</v>
      </c>
      <c r="J123" s="142">
        <f>[7]TransportB_EE!$T$58</f>
        <v>0</v>
      </c>
      <c r="K123" s="64"/>
      <c r="L123" s="69"/>
      <c r="M123" s="92">
        <f>C123*Labisoit!$D$9*H123</f>
        <v>0.51631911332116787</v>
      </c>
      <c r="N123" s="92">
        <f>D123*Labisoit!$D$37*I123</f>
        <v>0.72937495560520127</v>
      </c>
      <c r="O123" s="185">
        <f>E123*Labisoit!$D$66*J123</f>
        <v>0</v>
      </c>
    </row>
    <row r="124" spans="1:49" ht="13.8" thickBot="1" x14ac:dyDescent="0.3">
      <c r="A124" s="63" t="str">
        <f>A29</f>
        <v>Kaubarong, diisel, g/tonn-km</v>
      </c>
      <c r="B124" s="63">
        <f t="shared" si="18"/>
        <v>0</v>
      </c>
      <c r="C124" s="63">
        <f t="shared" si="18"/>
        <v>1.2E-2</v>
      </c>
      <c r="D124" s="63">
        <f t="shared" si="18"/>
        <v>1E-3</v>
      </c>
      <c r="E124" s="179">
        <f t="shared" si="18"/>
        <v>7.5000000000000002E-4</v>
      </c>
      <c r="G124" s="66"/>
      <c r="H124" s="65">
        <f t="shared" si="19"/>
        <v>1</v>
      </c>
      <c r="I124" s="65">
        <f t="shared" si="19"/>
        <v>0.85</v>
      </c>
      <c r="J124" s="142">
        <f>[7]TransportB_EE!$T$64</f>
        <v>0.19999999999999996</v>
      </c>
      <c r="K124" s="64"/>
      <c r="L124" s="66"/>
      <c r="M124" s="62">
        <f>C124*Labisoit!$D$22*'Ohusaaste (joonised)'!H124</f>
        <v>92.986080757300527</v>
      </c>
      <c r="N124" s="117">
        <f>D124*Labisoit!$D$51*'Ohusaaste (joonised)'!I124</f>
        <v>7.0959998466272944</v>
      </c>
      <c r="O124" s="185">
        <f>E124*Labisoit!$D$80*J124</f>
        <v>1.1985382584977657</v>
      </c>
    </row>
    <row r="125" spans="1:49" s="57" customFormat="1" ht="13.8" thickBot="1" x14ac:dyDescent="0.3">
      <c r="B125" s="60"/>
      <c r="C125" s="60"/>
      <c r="D125" s="60"/>
      <c r="G125" s="59"/>
      <c r="I125" s="61">
        <f>A30</f>
        <v>0</v>
      </c>
      <c r="J125" s="129"/>
      <c r="L125" s="59">
        <v>499</v>
      </c>
      <c r="M125" s="58">
        <f>SUM(M117:M124)</f>
        <v>255.75183739968878</v>
      </c>
      <c r="N125" s="118">
        <f>SUM(N117:N124)</f>
        <v>59.741621543784618</v>
      </c>
      <c r="O125" s="186">
        <f>SUM(O117:O124)</f>
        <v>31.149845446608797</v>
      </c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</row>
    <row r="126" spans="1:49" s="113" customFormat="1" ht="13.8" thickBot="1" x14ac:dyDescent="0.3">
      <c r="A126" s="110"/>
      <c r="B126" s="110"/>
      <c r="C126" s="110"/>
      <c r="D126" s="110"/>
      <c r="E126" s="109"/>
      <c r="G126" s="198" t="s">
        <v>48</v>
      </c>
      <c r="H126" s="112"/>
      <c r="I126" s="112"/>
      <c r="J126" s="199"/>
      <c r="L126" s="262" t="s">
        <v>84</v>
      </c>
      <c r="M126" s="263"/>
      <c r="N126" s="263"/>
      <c r="O126" s="197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</row>
    <row r="127" spans="1:49" s="113" customFormat="1" ht="13.8" thickBot="1" x14ac:dyDescent="0.3">
      <c r="A127" s="106" t="s">
        <v>83</v>
      </c>
      <c r="B127" s="107">
        <v>2010</v>
      </c>
      <c r="C127" s="158">
        <v>2020</v>
      </c>
      <c r="D127" s="158">
        <v>2030</v>
      </c>
      <c r="E127" s="108">
        <v>2050</v>
      </c>
      <c r="G127" s="106">
        <v>2010</v>
      </c>
      <c r="H127" s="107">
        <v>2020</v>
      </c>
      <c r="I127" s="107">
        <v>2030</v>
      </c>
      <c r="J127" s="127">
        <v>2050</v>
      </c>
      <c r="L127" s="107">
        <v>2010</v>
      </c>
      <c r="M127" s="107">
        <v>2020</v>
      </c>
      <c r="N127" s="114">
        <v>2030</v>
      </c>
      <c r="O127" s="123">
        <v>2050</v>
      </c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</row>
    <row r="128" spans="1:49" s="89" customFormat="1" x14ac:dyDescent="0.25">
      <c r="A128" s="73" t="s">
        <v>57</v>
      </c>
      <c r="B128" s="73"/>
      <c r="C128" s="160">
        <f t="shared" ref="C128:E135" si="20">C33</f>
        <v>9.3999999999999997E-4</v>
      </c>
      <c r="D128" s="160">
        <f t="shared" si="20"/>
        <v>9.3999999999999997E-4</v>
      </c>
      <c r="E128" s="177">
        <f t="shared" si="20"/>
        <v>7.0500000000000001E-4</v>
      </c>
      <c r="G128" s="75"/>
      <c r="H128" s="79">
        <f>[2]TransportB_EE!$S$56+[2]TransportB_EE!$U$56+[2]TransportB_EE!$V$56+[2]TransportB_EE!$Z$56</f>
        <v>0.74</v>
      </c>
      <c r="I128" s="79">
        <f>[6]Transport30B_EE!$S$56+[6]Transport30B_EE!$U$56+[6]Transport30B_EE!$V$56+[6]Transport30B_EE!$Z$56</f>
        <v>0.7</v>
      </c>
      <c r="J128" s="142">
        <f>[7]TransportB_EE!$S$56+[7]TransportB_EE!$U$56+[7]TransportB_EE!$V$56+[7]TransportB_EE!$Z$56</f>
        <v>0.57000000000000006</v>
      </c>
      <c r="L128" s="73"/>
      <c r="M128" s="72">
        <f>C128*Labisoit!$I$7*H128</f>
        <v>4.7388055064568615</v>
      </c>
      <c r="N128" s="115">
        <f>D128*Labisoit!$I$35*I128</f>
        <v>4.2607308308613501</v>
      </c>
      <c r="O128" s="185">
        <f>E128*Labisoit!$I$64*J128</f>
        <v>2.5918625482086539</v>
      </c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</row>
    <row r="129" spans="1:49" s="89" customFormat="1" x14ac:dyDescent="0.25">
      <c r="A129" s="67" t="s">
        <v>56</v>
      </c>
      <c r="B129" s="67"/>
      <c r="C129" s="160">
        <f t="shared" si="20"/>
        <v>1.1000000000000001E-3</v>
      </c>
      <c r="D129" s="160">
        <f t="shared" si="20"/>
        <v>1E-3</v>
      </c>
      <c r="E129" s="177">
        <f t="shared" si="20"/>
        <v>7.5000000000000002E-4</v>
      </c>
      <c r="G129" s="69"/>
      <c r="H129" s="78">
        <f>[2]TransportB_EE!$T$56</f>
        <v>0.255</v>
      </c>
      <c r="I129" s="78">
        <f>[6]Transport30B_EE!$T$56</f>
        <v>0.22999999999999998</v>
      </c>
      <c r="J129" s="142">
        <f>[7]TransportB_EE!$T$56</f>
        <v>0.17999999999999994</v>
      </c>
      <c r="L129" s="67"/>
      <c r="M129" s="72">
        <f>C129*Labisoit!$I$7*H129</f>
        <v>1.9109185516980305</v>
      </c>
      <c r="N129" s="115">
        <f>D129*Labisoit!$I$35*I129</f>
        <v>1.4893132083557912</v>
      </c>
      <c r="O129" s="185">
        <f>E129*Labisoit!$I$64*J129</f>
        <v>0.87072649995811391</v>
      </c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</row>
    <row r="130" spans="1:49" s="89" customFormat="1" x14ac:dyDescent="0.25">
      <c r="A130" s="67" t="s">
        <v>55</v>
      </c>
      <c r="B130" s="67"/>
      <c r="C130" s="160">
        <f t="shared" si="20"/>
        <v>5.7000000000000002E-3</v>
      </c>
      <c r="D130" s="160">
        <f t="shared" si="20"/>
        <v>5.7000000000000002E-3</v>
      </c>
      <c r="E130" s="177">
        <f t="shared" si="20"/>
        <v>4.2750000000000002E-3</v>
      </c>
      <c r="G130" s="69"/>
      <c r="H130" s="78">
        <f>[2]TransportB_EE!$T$57</f>
        <v>0.78500000000000003</v>
      </c>
      <c r="I130" s="78">
        <f>[6]Transport30B_EE!$T$57</f>
        <v>0.40000000000000008</v>
      </c>
      <c r="J130" s="142">
        <f>[7]TransportB_EE!$T$57</f>
        <v>0</v>
      </c>
      <c r="L130" s="67"/>
      <c r="M130" s="71">
        <f>C130*Labisoit!$I$8*'Ohusaaste (joonised)'!H130</f>
        <v>0.41713206032253264</v>
      </c>
      <c r="N130" s="116">
        <f>D130*Labisoit!$I$36*'Ohusaaste (joonised)'!I130</f>
        <v>0.19054920715185894</v>
      </c>
      <c r="O130" s="185">
        <f>E130*Labisoit!$I$65*J130</f>
        <v>0</v>
      </c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</row>
    <row r="131" spans="1:49" s="89" customFormat="1" x14ac:dyDescent="0.25">
      <c r="A131" s="67" t="s">
        <v>54</v>
      </c>
      <c r="B131" s="67"/>
      <c r="C131" s="160">
        <f t="shared" si="20"/>
        <v>3.5E-4</v>
      </c>
      <c r="D131" s="160">
        <f t="shared" si="20"/>
        <v>3.5E-4</v>
      </c>
      <c r="E131" s="177">
        <f t="shared" si="20"/>
        <v>2.6249999999999998E-4</v>
      </c>
      <c r="G131" s="69"/>
      <c r="H131" s="78">
        <f>[2]TransportB_EE!$Z$57</f>
        <v>0.15</v>
      </c>
      <c r="I131" s="78">
        <f>[6]Transport30B_EE!$U$57+[6]Transport30B_EE!$Z$57</f>
        <v>0.39999999999999997</v>
      </c>
      <c r="J131" s="142">
        <f>[7]TransportB_EE!$U$57+[7]TransportB_EE!$Z$57</f>
        <v>0.65</v>
      </c>
      <c r="L131" s="67"/>
      <c r="M131" s="70">
        <f>C131*Labisoit!$I$8*'Ohusaaste (joonised)'!H131</f>
        <v>4.8942749283569032E-3</v>
      </c>
      <c r="N131" s="120">
        <f>D131*Labisoit!$I$36*'Ohusaaste (joonised)'!I131</f>
        <v>1.1700389912833439E-2</v>
      </c>
      <c r="O131" s="185">
        <f>E131*Labisoit!$I$65*J131</f>
        <v>1.278961259135173E-2</v>
      </c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</row>
    <row r="132" spans="1:49" s="89" customFormat="1" x14ac:dyDescent="0.25">
      <c r="A132" s="67" t="s">
        <v>53</v>
      </c>
      <c r="B132" s="67"/>
      <c r="C132" s="160">
        <f t="shared" si="20"/>
        <v>7.5000000000000002E-4</v>
      </c>
      <c r="D132" s="160">
        <f t="shared" si="20"/>
        <v>7.3999999999999999E-4</v>
      </c>
      <c r="E132" s="177">
        <f t="shared" si="20"/>
        <v>5.5499999999999994E-4</v>
      </c>
      <c r="G132" s="69"/>
      <c r="H132" s="78">
        <f>[2]TransportB_EE!$T$63</f>
        <v>0.88</v>
      </c>
      <c r="I132" s="78">
        <f>[6]Transport30B_EE!$T$63</f>
        <v>0.64999999999999991</v>
      </c>
      <c r="J132" s="142">
        <f>[7]TransportB_EE!$T$63</f>
        <v>0.5</v>
      </c>
      <c r="L132" s="67"/>
      <c r="M132" s="71">
        <f>C132*Labisoit!$D$21*'Ohusaaste (joonised)'!H132</f>
        <v>3.8581066840529088</v>
      </c>
      <c r="N132" s="116">
        <f>D132*Labisoit!$D$50*'Ohusaaste (joonised)'!I132</f>
        <v>2.6770007264531204</v>
      </c>
      <c r="O132" s="185">
        <f>E132*Labisoit!$E$79*J132</f>
        <v>2.3269522135770928</v>
      </c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</row>
    <row r="133" spans="1:49" s="89" customFormat="1" x14ac:dyDescent="0.25">
      <c r="A133" s="67" t="s">
        <v>46</v>
      </c>
      <c r="B133" s="67"/>
      <c r="C133" s="160">
        <f t="shared" si="20"/>
        <v>4.5000000000000003E-5</v>
      </c>
      <c r="D133" s="160">
        <f t="shared" si="20"/>
        <v>4.5000000000000003E-5</v>
      </c>
      <c r="E133" s="177">
        <f t="shared" si="20"/>
        <v>3.375E-5</v>
      </c>
      <c r="G133" s="69"/>
      <c r="H133" s="78">
        <f>[2]TransportB_EE!$Z$63</f>
        <v>0.08</v>
      </c>
      <c r="I133" s="78">
        <f>[6]Transport30B_EE!$U$63+[6]Transport30B_EE!$Z$63</f>
        <v>0.30000000000000004</v>
      </c>
      <c r="J133" s="142">
        <f>[7]TransportB_EE!$U$63+[7]TransportB_EE!$Z$63</f>
        <v>0.4</v>
      </c>
      <c r="L133" s="67"/>
      <c r="M133" s="70">
        <f>C133*Labisoit!$D$21*'Ohusaaste (joonised)'!H133</f>
        <v>2.1044218276652229E-2</v>
      </c>
      <c r="N133" s="120">
        <f>D133*Labisoit!$D$50*'Ohusaaste (joonised)'!I133</f>
        <v>7.513411602311254E-2</v>
      </c>
      <c r="O133" s="185">
        <f>E133*Labisoit!$E$79*J133</f>
        <v>0.11320308066050722</v>
      </c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s="89" customFormat="1" x14ac:dyDescent="0.25">
      <c r="A134" s="67" t="s">
        <v>52</v>
      </c>
      <c r="B134" s="67"/>
      <c r="C134" s="160">
        <f t="shared" si="20"/>
        <v>4.8000000000000001E-4</v>
      </c>
      <c r="D134" s="160">
        <f t="shared" si="20"/>
        <v>4.8000000000000001E-4</v>
      </c>
      <c r="E134" s="177">
        <f t="shared" si="20"/>
        <v>3.6000000000000002E-4</v>
      </c>
      <c r="G134" s="69"/>
      <c r="H134" s="147">
        <f>[2]TransportB_EE!$T$58+[2]TransportB_EE!$X$58</f>
        <v>0.30000000000000004</v>
      </c>
      <c r="I134" s="147">
        <f>[6]Transport30B_EE!$T$58</f>
        <v>0.19999999999999996</v>
      </c>
      <c r="J134" s="142">
        <f>[7]TransportB_EE!$T$58</f>
        <v>0</v>
      </c>
      <c r="L134" s="67"/>
      <c r="M134" s="91">
        <f>C134*Labisoit!$D$9*H134</f>
        <v>0.12391658719708029</v>
      </c>
      <c r="N134" s="91">
        <f>D134*Labisoit!$D$37*I134</f>
        <v>0.17504998934524829</v>
      </c>
      <c r="O134" s="185">
        <f>E134*Labisoit!$E$66*J134</f>
        <v>0</v>
      </c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</row>
    <row r="135" spans="1:49" s="89" customFormat="1" ht="13.8" thickBot="1" x14ac:dyDescent="0.3">
      <c r="A135" s="63" t="s">
        <v>51</v>
      </c>
      <c r="B135" s="63"/>
      <c r="C135" s="160">
        <f t="shared" si="20"/>
        <v>1.7000000000000001E-4</v>
      </c>
      <c r="D135" s="160">
        <f t="shared" si="20"/>
        <v>1.7000000000000001E-4</v>
      </c>
      <c r="E135" s="177">
        <f t="shared" si="20"/>
        <v>1.2750000000000001E-4</v>
      </c>
      <c r="G135" s="66"/>
      <c r="H135" s="77">
        <f>[2]TransportB_EE!$T$64+[2]TransportB_EE!$X$64</f>
        <v>1</v>
      </c>
      <c r="I135" s="77">
        <f>[6]Transport30B_EE!$T$64</f>
        <v>0.85</v>
      </c>
      <c r="J135" s="142">
        <f>[7]TransportB_EE!$T$64</f>
        <v>0.19999999999999996</v>
      </c>
      <c r="L135" s="63"/>
      <c r="M135" s="62">
        <f>C135*Labisoit!$D$22*'Ohusaaste (joonised)'!H135</f>
        <v>1.3173028107284241</v>
      </c>
      <c r="N135" s="117">
        <f>D135*Labisoit!$D$51*'Ohusaaste (joonised)'!I135</f>
        <v>1.2063199739266399</v>
      </c>
      <c r="O135" s="185">
        <f>E135*Labisoit!$E$80*J135</f>
        <v>0.18962109318185588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</row>
    <row r="136" spans="1:49" s="89" customFormat="1" ht="13.8" thickBot="1" x14ac:dyDescent="0.3">
      <c r="B136" s="57"/>
      <c r="C136" s="159"/>
      <c r="D136" s="159"/>
      <c r="E136" s="159"/>
      <c r="G136" s="61"/>
      <c r="H136" s="60"/>
      <c r="I136" s="88" t="str">
        <f>I41</f>
        <v>Kokku</v>
      </c>
      <c r="J136" s="116"/>
      <c r="L136" s="93">
        <f>L41</f>
        <v>76</v>
      </c>
      <c r="M136" s="58">
        <f>SUM(M128:M135)</f>
        <v>12.392120693660845</v>
      </c>
      <c r="N136" s="118">
        <f>SUM(N128:N135)</f>
        <v>10.085798442029956</v>
      </c>
      <c r="O136" s="186">
        <f>SUM(O128:O135)</f>
        <v>6.1051550481775747</v>
      </c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</row>
    <row r="137" spans="1:49" s="113" customFormat="1" ht="13.8" thickBot="1" x14ac:dyDescent="0.3">
      <c r="A137" s="110"/>
      <c r="B137" s="110"/>
      <c r="C137" s="110"/>
      <c r="D137" s="110"/>
      <c r="E137" s="109"/>
      <c r="G137" s="198" t="s">
        <v>48</v>
      </c>
      <c r="H137" s="112"/>
      <c r="I137" s="112"/>
      <c r="J137" s="199"/>
      <c r="L137" s="262" t="s">
        <v>86</v>
      </c>
      <c r="M137" s="263"/>
      <c r="N137" s="263"/>
      <c r="O137" s="197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</row>
    <row r="138" spans="1:49" s="113" customFormat="1" ht="13.8" thickBot="1" x14ac:dyDescent="0.3">
      <c r="A138" s="106" t="s">
        <v>85</v>
      </c>
      <c r="B138" s="107">
        <v>2010</v>
      </c>
      <c r="C138" s="158">
        <v>2020</v>
      </c>
      <c r="D138" s="158">
        <v>2030</v>
      </c>
      <c r="E138" s="108">
        <v>2050</v>
      </c>
      <c r="G138" s="106">
        <v>2010</v>
      </c>
      <c r="H138" s="107">
        <v>2020</v>
      </c>
      <c r="I138" s="107">
        <v>2030</v>
      </c>
      <c r="J138" s="127">
        <v>2050</v>
      </c>
      <c r="L138" s="107">
        <v>2010</v>
      </c>
      <c r="M138" s="107">
        <v>2020</v>
      </c>
      <c r="N138" s="114">
        <v>2030</v>
      </c>
      <c r="O138" s="123">
        <v>2050</v>
      </c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</row>
    <row r="139" spans="1:49" s="89" customFormat="1" x14ac:dyDescent="0.25">
      <c r="A139" s="73" t="s">
        <v>57</v>
      </c>
      <c r="B139" s="73"/>
      <c r="C139" s="67">
        <f t="shared" ref="C139:E146" si="21">C44</f>
        <v>0.17</v>
      </c>
      <c r="D139" s="67">
        <f t="shared" si="21"/>
        <v>1.2999999999999999E-2</v>
      </c>
      <c r="E139" s="181">
        <f t="shared" si="21"/>
        <v>9.75E-3</v>
      </c>
      <c r="G139" s="75"/>
      <c r="H139" s="79">
        <f>[2]TransportB_EE!$S$56+[2]TransportB_EE!$U$56+[2]TransportB_EE!$V$56+[2]TransportB_EE!$Z$56</f>
        <v>0.74</v>
      </c>
      <c r="I139" s="79">
        <f>[6]Transport30B_EE!$S$56+[6]Transport30B_EE!$U$56+[6]Transport30B_EE!$V$56+[6]Transport30B_EE!$Z$56</f>
        <v>0.7</v>
      </c>
      <c r="J139" s="142">
        <f>[7]TransportB_EE!$S$56+[7]TransportB_EE!$U$56+[7]TransportB_EE!$V$56+[7]TransportB_EE!$Z$56</f>
        <v>0.57000000000000006</v>
      </c>
      <c r="L139" s="73"/>
      <c r="M139" s="72">
        <f>C139*Labisoit!$I$7*H139</f>
        <v>857.01801712517727</v>
      </c>
      <c r="N139" s="115">
        <f>D139*Labisoit!$I$35*I139</f>
        <v>58.925000852337824</v>
      </c>
      <c r="O139" s="185">
        <f>E139*Labisoit!$I$64*J139</f>
        <v>35.844907581609036</v>
      </c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</row>
    <row r="140" spans="1:49" s="89" customFormat="1" x14ac:dyDescent="0.25">
      <c r="A140" s="67" t="s">
        <v>56</v>
      </c>
      <c r="B140" s="67"/>
      <c r="C140" s="67">
        <f t="shared" si="21"/>
        <v>0.17</v>
      </c>
      <c r="D140" s="67">
        <f t="shared" si="21"/>
        <v>0.11</v>
      </c>
      <c r="E140" s="181">
        <f t="shared" si="21"/>
        <v>8.2500000000000004E-2</v>
      </c>
      <c r="G140" s="69"/>
      <c r="H140" s="78">
        <f>[2]TransportB_EE!$T$56</f>
        <v>0.255</v>
      </c>
      <c r="I140" s="78">
        <f>[6]Transport30B_EE!$T$56</f>
        <v>0.22999999999999998</v>
      </c>
      <c r="J140" s="142">
        <f>[7]TransportB_EE!$T$56</f>
        <v>0.17999999999999994</v>
      </c>
      <c r="L140" s="67"/>
      <c r="M140" s="72">
        <f>C140*Labisoit!$I$7*H140</f>
        <v>295.32377617151377</v>
      </c>
      <c r="N140" s="115">
        <f>D140*Labisoit!$I$35*I140</f>
        <v>163.82445291913703</v>
      </c>
      <c r="O140" s="185">
        <f>E140*Labisoit!$I$64*J140</f>
        <v>95.779914995392531</v>
      </c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</row>
    <row r="141" spans="1:49" s="89" customFormat="1" x14ac:dyDescent="0.25">
      <c r="A141" s="67" t="s">
        <v>55</v>
      </c>
      <c r="B141" s="67"/>
      <c r="C141" s="67">
        <f t="shared" si="21"/>
        <v>0.13</v>
      </c>
      <c r="D141" s="67">
        <f t="shared" si="21"/>
        <v>5.8000000000000003E-2</v>
      </c>
      <c r="E141" s="181">
        <f t="shared" si="21"/>
        <v>4.3500000000000004E-2</v>
      </c>
      <c r="G141" s="69"/>
      <c r="H141" s="78">
        <f>[2]TransportB_EE!$T$57</f>
        <v>0.78500000000000003</v>
      </c>
      <c r="I141" s="78">
        <f>[6]Transport30B_EE!$T$57</f>
        <v>0.40000000000000008</v>
      </c>
      <c r="J141" s="142">
        <f>[7]TransportB_EE!$T$57</f>
        <v>0</v>
      </c>
      <c r="L141" s="67"/>
      <c r="M141" s="71">
        <f>C141*Labisoit!$I$8*'Ohusaaste (joonised)'!H141</f>
        <v>9.5135382178823225</v>
      </c>
      <c r="N141" s="116">
        <f>D141*Labisoit!$I$36*'Ohusaaste (joonised)'!I141</f>
        <v>1.9389217569838277</v>
      </c>
      <c r="O141" s="185">
        <f>E141*Labisoit!$I$65*J141</f>
        <v>0</v>
      </c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</row>
    <row r="142" spans="1:49" s="89" customFormat="1" x14ac:dyDescent="0.25">
      <c r="A142" s="67" t="s">
        <v>54</v>
      </c>
      <c r="B142" s="67"/>
      <c r="C142" s="67">
        <f t="shared" si="21"/>
        <v>0.81</v>
      </c>
      <c r="D142" s="67">
        <f t="shared" si="21"/>
        <v>0.4</v>
      </c>
      <c r="E142" s="181">
        <f t="shared" si="21"/>
        <v>0.30000000000000004</v>
      </c>
      <c r="G142" s="69"/>
      <c r="H142" s="78">
        <f>[2]TransportB_EE!$Z$57</f>
        <v>0.15</v>
      </c>
      <c r="I142" s="78">
        <f>[6]Transport30B_EE!$U$57+[6]Transport30B_EE!$Z$57</f>
        <v>0.39999999999999997</v>
      </c>
      <c r="J142" s="142">
        <f>[7]TransportB_EE!$U$57+[7]TransportB_EE!$Z$57</f>
        <v>0.65</v>
      </c>
      <c r="L142" s="67"/>
      <c r="M142" s="70">
        <f>C142*Labisoit!$I$8*'Ohusaaste (joonised)'!H142</f>
        <v>11.326750548483119</v>
      </c>
      <c r="N142" s="120">
        <f>D142*Labisoit!$I$36*'Ohusaaste (joonised)'!I142</f>
        <v>13.37187418609536</v>
      </c>
      <c r="O142" s="185">
        <f>E142*Labisoit!$I$65*J142</f>
        <v>14.616700104401978</v>
      </c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</row>
    <row r="143" spans="1:49" s="89" customFormat="1" x14ac:dyDescent="0.25">
      <c r="A143" s="67" t="s">
        <v>53</v>
      </c>
      <c r="B143" s="67"/>
      <c r="C143" s="67">
        <f t="shared" si="21"/>
        <v>4.2000000000000003E-2</v>
      </c>
      <c r="D143" s="67">
        <f t="shared" si="21"/>
        <v>2.2000000000000001E-3</v>
      </c>
      <c r="E143" s="181">
        <f t="shared" si="21"/>
        <v>1.65E-3</v>
      </c>
      <c r="G143" s="69"/>
      <c r="H143" s="78">
        <f>[2]TransportB_EE!$T$63</f>
        <v>0.88</v>
      </c>
      <c r="I143" s="78">
        <f>[6]Transport30B_EE!$T$63</f>
        <v>0.64999999999999991</v>
      </c>
      <c r="J143" s="142">
        <f>[7]TransportB_EE!$T$63</f>
        <v>0.5</v>
      </c>
      <c r="L143" s="67"/>
      <c r="M143" s="71">
        <f>C143*Labisoit!$D$21*'Ohusaaste (joonised)'!H143</f>
        <v>216.05397430696291</v>
      </c>
      <c r="N143" s="116">
        <f>D143*Labisoit!$D$50*'Ohusaaste (joonised)'!I143</f>
        <v>7.9586508083741414</v>
      </c>
      <c r="O143" s="185">
        <f>E143*Labisoit!$D$79*J143</f>
        <v>4.3946402811584759</v>
      </c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</row>
    <row r="144" spans="1:49" s="89" customFormat="1" x14ac:dyDescent="0.25">
      <c r="A144" s="67" t="s">
        <v>46</v>
      </c>
      <c r="B144" s="67"/>
      <c r="C144" s="67">
        <f t="shared" si="21"/>
        <v>0.252</v>
      </c>
      <c r="D144" s="67">
        <f t="shared" si="21"/>
        <v>0.126</v>
      </c>
      <c r="E144" s="181">
        <f t="shared" si="21"/>
        <v>9.4500000000000001E-2</v>
      </c>
      <c r="G144" s="69"/>
      <c r="H144" s="78">
        <f>[2]TransportB_EE!$Z$63</f>
        <v>0.08</v>
      </c>
      <c r="I144" s="78">
        <f>[6]Transport30B_EE!$U$63+[6]Transport30B_EE!$Z$63</f>
        <v>0.30000000000000004</v>
      </c>
      <c r="J144" s="142">
        <f>[7]TransportB_EE!$U$63+[7]TransportB_EE!$Z$63</f>
        <v>0.4</v>
      </c>
      <c r="L144" s="67"/>
      <c r="M144" s="70">
        <f>C144*Labisoit!$D$21*'Ohusaaste (joonised)'!H144</f>
        <v>117.84762234925249</v>
      </c>
      <c r="N144" s="120">
        <f>D144*Labisoit!$D$50*'Ohusaaste (joonised)'!I144</f>
        <v>210.37552486471512</v>
      </c>
      <c r="O144" s="185">
        <f>E144*Labisoit!$D$79*J144</f>
        <v>201.35442742762473</v>
      </c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</row>
    <row r="145" spans="1:49" s="89" customFormat="1" x14ac:dyDescent="0.25">
      <c r="A145" s="67" t="s">
        <v>52</v>
      </c>
      <c r="B145" s="67"/>
      <c r="C145" s="67">
        <f t="shared" si="21"/>
        <v>7.1999999999999998E-3</v>
      </c>
      <c r="D145" s="67">
        <f t="shared" si="21"/>
        <v>7.1999999999999998E-3</v>
      </c>
      <c r="E145" s="181">
        <f t="shared" si="21"/>
        <v>5.4000000000000003E-3</v>
      </c>
      <c r="G145" s="69"/>
      <c r="H145" s="147">
        <f>[2]TransportB_EE!$T$58+[2]TransportB_EE!$X$58</f>
        <v>0.30000000000000004</v>
      </c>
      <c r="I145" s="147">
        <f>[6]Transport30B_EE!$T$58</f>
        <v>0.19999999999999996</v>
      </c>
      <c r="J145" s="142">
        <f>[7]TransportB_EE!$T$58</f>
        <v>0</v>
      </c>
      <c r="L145" s="67"/>
      <c r="M145" s="91">
        <f>C145*Labisoit!$D$9*H145</f>
        <v>1.8587488079562042</v>
      </c>
      <c r="N145" s="91">
        <f>D145*Labisoit!$D$37*I145</f>
        <v>2.6257498401787243</v>
      </c>
      <c r="O145" s="185">
        <f>E145*Labisoit!$D$66*J145</f>
        <v>0</v>
      </c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</row>
    <row r="146" spans="1:49" s="89" customFormat="1" ht="13.8" thickBot="1" x14ac:dyDescent="0.3">
      <c r="A146" s="63" t="s">
        <v>51</v>
      </c>
      <c r="B146" s="63"/>
      <c r="C146" s="67">
        <f t="shared" si="21"/>
        <v>3.6999999999999998E-2</v>
      </c>
      <c r="D146" s="67">
        <f t="shared" si="21"/>
        <v>3.6999999999999998E-2</v>
      </c>
      <c r="E146" s="181">
        <f t="shared" si="21"/>
        <v>2.7749999999999997E-2</v>
      </c>
      <c r="G146" s="66"/>
      <c r="H146" s="77">
        <f>[2]TransportB_EE!$T$64+[2]TransportB_EE!$X$64</f>
        <v>1</v>
      </c>
      <c r="I146" s="77">
        <f>[6]Transport30B_EE!$T$64</f>
        <v>0.85</v>
      </c>
      <c r="J146" s="142">
        <f>[7]TransportB_EE!$T$64</f>
        <v>0.19999999999999996</v>
      </c>
      <c r="L146" s="63"/>
      <c r="M146" s="62">
        <f>C146*Labisoit!$D$22*'Ohusaaste (joonised)'!H146</f>
        <v>286.70708233500994</v>
      </c>
      <c r="N146" s="117">
        <f>D146*Labisoit!$D$51*'Ohusaaste (joonised)'!I146</f>
        <v>262.55199432520988</v>
      </c>
      <c r="O146" s="185">
        <f>E146*Labisoit!$D$80*J146</f>
        <v>44.345915564417332</v>
      </c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</row>
    <row r="147" spans="1:49" s="89" customFormat="1" ht="13.8" thickBot="1" x14ac:dyDescent="0.3">
      <c r="B147" s="57"/>
      <c r="C147" s="159"/>
      <c r="D147" s="159"/>
      <c r="E147" s="57"/>
      <c r="G147" s="61"/>
      <c r="H147" s="60"/>
      <c r="I147" s="88" t="str">
        <f>I52</f>
        <v>Kokku</v>
      </c>
      <c r="J147" s="116"/>
      <c r="L147" s="57">
        <v>2578</v>
      </c>
      <c r="M147" s="58">
        <f>SUM(M139:M146)</f>
        <v>1795.6495098622383</v>
      </c>
      <c r="N147" s="118">
        <f>SUM(N139:N146)</f>
        <v>721.57216955303193</v>
      </c>
      <c r="O147" s="186">
        <f>SUM(O139:O146)</f>
        <v>396.33650595460409</v>
      </c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</row>
    <row r="148" spans="1:49" s="89" customFormat="1" x14ac:dyDescent="0.25">
      <c r="M148" s="105"/>
      <c r="N148" s="105"/>
      <c r="O148" s="105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</row>
    <row r="150" spans="1:49" x14ac:dyDescent="0.25">
      <c r="D150" s="54"/>
      <c r="E150" s="54"/>
      <c r="F150" s="54"/>
      <c r="G150" s="54"/>
      <c r="H150" s="54"/>
    </row>
    <row r="151" spans="1:49" x14ac:dyDescent="0.25">
      <c r="A151" s="54" t="s">
        <v>45</v>
      </c>
      <c r="D151" s="54"/>
      <c r="E151" s="54"/>
      <c r="F151" s="54"/>
      <c r="G151" s="54"/>
      <c r="H151" s="54"/>
      <c r="N151" s="67" t="s">
        <v>92</v>
      </c>
      <c r="O151" s="67"/>
      <c r="P151" s="241" t="s">
        <v>93</v>
      </c>
    </row>
    <row r="152" spans="1:49" s="210" customFormat="1" x14ac:dyDescent="0.25">
      <c r="A152" s="209" t="s">
        <v>42</v>
      </c>
      <c r="B152" s="209">
        <v>2011</v>
      </c>
      <c r="C152" s="209">
        <v>2015</v>
      </c>
      <c r="D152" s="209">
        <v>2020</v>
      </c>
      <c r="E152" s="209">
        <v>2025</v>
      </c>
      <c r="F152" s="209"/>
      <c r="G152" s="209">
        <v>2030</v>
      </c>
      <c r="H152" s="209">
        <v>2040</v>
      </c>
      <c r="I152" s="209">
        <v>2050</v>
      </c>
      <c r="L152" s="239">
        <v>2005</v>
      </c>
      <c r="N152" s="240">
        <v>2030</v>
      </c>
      <c r="O152" s="240">
        <v>2030</v>
      </c>
    </row>
    <row r="153" spans="1:49" x14ac:dyDescent="0.25">
      <c r="A153" s="54" t="s">
        <v>44</v>
      </c>
      <c r="B153" s="55">
        <f>[8]TransportBAU!D14</f>
        <v>2248000</v>
      </c>
      <c r="C153" s="55">
        <f>[8]TransportBAU!E14</f>
        <v>2394646.6779310168</v>
      </c>
      <c r="D153" s="55">
        <f>[8]TransportBAU!J14</f>
        <v>2653907.2548743365</v>
      </c>
      <c r="E153" s="55">
        <f>[8]TransportBAU!O14</f>
        <v>2816614.7185939001</v>
      </c>
      <c r="F153" s="55"/>
      <c r="G153" s="55">
        <f>[8]TransportBAU!T14</f>
        <v>3087233.270393461</v>
      </c>
      <c r="H153" s="53">
        <f>[8]TransportBAU!V14</f>
        <v>2788935.0459882622</v>
      </c>
      <c r="I153" s="55">
        <f>[8]TransportBAU!X14</f>
        <v>2490636.8215830633</v>
      </c>
      <c r="L153" s="238">
        <v>2149000</v>
      </c>
      <c r="N153" s="68">
        <v>-0.11</v>
      </c>
      <c r="O153" s="68">
        <v>0.02</v>
      </c>
    </row>
    <row r="154" spans="1:49" x14ac:dyDescent="0.25">
      <c r="A154" s="54" t="s">
        <v>43</v>
      </c>
      <c r="B154" s="52">
        <f>L19</f>
        <v>11547</v>
      </c>
      <c r="C154" s="53">
        <f>AVERAGE(B154,D154)</f>
        <v>11241.824886642728</v>
      </c>
      <c r="D154" s="56">
        <f>M19</f>
        <v>10936.649773285453</v>
      </c>
      <c r="E154" s="53">
        <f>AVERAGE(D154,G154)</f>
        <v>8187.1607763131724</v>
      </c>
      <c r="F154" s="53"/>
      <c r="G154" s="56">
        <f>N19</f>
        <v>5437.6717793408925</v>
      </c>
      <c r="H154" s="53">
        <f t="shared" ref="H154:H157" si="22">AVERAGE(G154,I154)</f>
        <v>4775.0774668934791</v>
      </c>
      <c r="I154" s="56">
        <f>O19</f>
        <v>4112.4831544460658</v>
      </c>
      <c r="N154" s="215">
        <f>(1+N153)*L153</f>
        <v>1912610</v>
      </c>
      <c r="O154" s="215">
        <f>(1+O153)*L153</f>
        <v>2191980</v>
      </c>
    </row>
    <row r="155" spans="1:49" x14ac:dyDescent="0.25">
      <c r="A155" s="54" t="s">
        <v>102</v>
      </c>
      <c r="B155" s="52">
        <f>L30</f>
        <v>499</v>
      </c>
      <c r="C155" s="53">
        <f>AVERAGE(B155,D155)</f>
        <v>396.87667813740211</v>
      </c>
      <c r="D155" s="56">
        <f>M30</f>
        <v>294.75335627480422</v>
      </c>
      <c r="E155" s="53">
        <f>AVERAGE(D155,G155)</f>
        <v>201.92424648411378</v>
      </c>
      <c r="F155" s="53"/>
      <c r="G155" s="56">
        <f>N30</f>
        <v>109.09513669342337</v>
      </c>
      <c r="H155" s="53">
        <f t="shared" si="22"/>
        <v>100.07792184880806</v>
      </c>
      <c r="I155" s="56">
        <f>O30</f>
        <v>91.06070700419275</v>
      </c>
      <c r="L155" s="36">
        <v>1990</v>
      </c>
      <c r="N155" s="258">
        <v>-0.3</v>
      </c>
      <c r="O155" s="258">
        <v>-0.21</v>
      </c>
    </row>
    <row r="156" spans="1:49" x14ac:dyDescent="0.25">
      <c r="A156" s="54" t="s">
        <v>83</v>
      </c>
      <c r="B156" s="52">
        <f>L41</f>
        <v>76</v>
      </c>
      <c r="C156" s="53">
        <f>AVERAGE(B156,D156)</f>
        <v>45.474292147806842</v>
      </c>
      <c r="D156" s="53">
        <f>M41</f>
        <v>14.948584295613685</v>
      </c>
      <c r="E156" s="53">
        <f>AVERAGE(D156,G156)</f>
        <v>15.650091683094727</v>
      </c>
      <c r="F156" s="52">
        <f t="shared" ref="F156" si="23">P41</f>
        <v>0</v>
      </c>
      <c r="G156" s="56">
        <f>N41</f>
        <v>16.351599070575769</v>
      </c>
      <c r="H156" s="53">
        <f t="shared" si="22"/>
        <v>14.608699086659978</v>
      </c>
      <c r="I156" s="53">
        <f>O41</f>
        <v>12.865799102744189</v>
      </c>
      <c r="L156" s="36">
        <v>2420000</v>
      </c>
      <c r="N156" s="52">
        <f>L156*0.7</f>
        <v>1694000</v>
      </c>
      <c r="O156" s="52">
        <f>L156*0.79</f>
        <v>1911800</v>
      </c>
    </row>
    <row r="157" spans="1:49" x14ac:dyDescent="0.25">
      <c r="A157" s="54" t="s">
        <v>85</v>
      </c>
      <c r="B157" s="52">
        <f>L52</f>
        <v>2578</v>
      </c>
      <c r="C157" s="53">
        <f>AVERAGE(B157,D157)</f>
        <v>2260.5762025608074</v>
      </c>
      <c r="D157" s="53">
        <f>M52</f>
        <v>1943.1524051216152</v>
      </c>
      <c r="E157" s="53">
        <f>AVERAGE(D157,G157)</f>
        <v>1320.2372437411252</v>
      </c>
      <c r="F157" s="53"/>
      <c r="G157" s="56">
        <f>N52</f>
        <v>697.32208236063514</v>
      </c>
      <c r="H157" s="53">
        <f t="shared" si="22"/>
        <v>610.04996338180433</v>
      </c>
      <c r="I157" s="53">
        <f>O52</f>
        <v>522.77784440297353</v>
      </c>
    </row>
    <row r="158" spans="1:49" x14ac:dyDescent="0.25">
      <c r="A158" s="54"/>
      <c r="D158" s="54"/>
      <c r="E158" s="54"/>
      <c r="F158" s="54"/>
      <c r="G158" s="54"/>
      <c r="H158" s="54"/>
      <c r="I158" s="54"/>
    </row>
    <row r="159" spans="1:49" s="36" customFormat="1" x14ac:dyDescent="0.25">
      <c r="A159" s="46" t="s">
        <v>24</v>
      </c>
      <c r="B159" s="46">
        <v>2011</v>
      </c>
      <c r="C159" s="46">
        <v>2015</v>
      </c>
      <c r="D159" s="46">
        <v>2020</v>
      </c>
      <c r="E159" s="46">
        <v>2025</v>
      </c>
      <c r="F159" s="46"/>
      <c r="G159" s="46">
        <v>2030</v>
      </c>
      <c r="H159" s="46">
        <v>2040</v>
      </c>
      <c r="I159" s="46">
        <v>2050</v>
      </c>
    </row>
    <row r="160" spans="1:49" x14ac:dyDescent="0.25">
      <c r="A160" s="54" t="s">
        <v>44</v>
      </c>
      <c r="B160" s="55">
        <f>[8]VS_TAK!D14</f>
        <v>2248000</v>
      </c>
      <c r="C160" s="55">
        <f>[8]VS_TAK!E14</f>
        <v>2215366.2714910498</v>
      </c>
      <c r="D160" s="55">
        <f>[8]VS_TAK!J14</f>
        <v>2295346.4419944016</v>
      </c>
      <c r="E160" s="55">
        <f>[8]VS_TAK!O14</f>
        <v>2327318.0008590966</v>
      </c>
      <c r="F160" s="55"/>
      <c r="G160" s="55">
        <f>[8]VS_TAK!T14</f>
        <v>2359289.5597237912</v>
      </c>
      <c r="H160" s="53">
        <f>[8]VS_TAK!V14</f>
        <v>2125835.9434233787</v>
      </c>
      <c r="I160" s="55">
        <f>[8]VS_TAK!X14</f>
        <v>1892382.3271229663</v>
      </c>
    </row>
    <row r="161" spans="1:9" x14ac:dyDescent="0.25">
      <c r="A161" s="54" t="s">
        <v>43</v>
      </c>
      <c r="B161" s="52">
        <f>B154</f>
        <v>11547</v>
      </c>
      <c r="C161" s="53">
        <f>AVERAGE(B161,D161)</f>
        <v>10600.78760539864</v>
      </c>
      <c r="D161" s="56">
        <f>M66</f>
        <v>9654.5752107972803</v>
      </c>
      <c r="E161" s="53">
        <f>AVERAGE(D161,G161)</f>
        <v>6991.1111204496146</v>
      </c>
      <c r="F161" s="53"/>
      <c r="G161" s="56">
        <f>N66</f>
        <v>4327.647030101949</v>
      </c>
      <c r="H161" s="53">
        <f t="shared" ref="H161:H162" si="24">AVERAGE(G161,I161)</f>
        <v>3698.4454131484799</v>
      </c>
      <c r="I161" s="56">
        <f>O66</f>
        <v>3069.2437961950113</v>
      </c>
    </row>
    <row r="162" spans="1:9" x14ac:dyDescent="0.25">
      <c r="A162" s="54" t="s">
        <v>102</v>
      </c>
      <c r="B162" s="52">
        <f>B155</f>
        <v>499</v>
      </c>
      <c r="C162" s="53">
        <f>AVERAGE(B162,D162)</f>
        <v>382.04363922878736</v>
      </c>
      <c r="D162" s="56">
        <f>M77</f>
        <v>265.08727845757471</v>
      </c>
      <c r="E162" s="53">
        <f>AVERAGE(D162,G162)</f>
        <v>175.67518353333026</v>
      </c>
      <c r="F162" s="53"/>
      <c r="G162" s="56">
        <f>N77</f>
        <v>86.263088609085813</v>
      </c>
      <c r="H162" s="53">
        <f t="shared" si="24"/>
        <v>78.927712370238879</v>
      </c>
      <c r="I162" s="56">
        <f>O77</f>
        <v>71.592336131391932</v>
      </c>
    </row>
    <row r="163" spans="1:9" x14ac:dyDescent="0.25">
      <c r="A163" s="54" t="s">
        <v>83</v>
      </c>
      <c r="B163" s="52">
        <f>L41</f>
        <v>76</v>
      </c>
      <c r="C163" s="53">
        <f>AVERAGE(B163,D163)</f>
        <v>44.497415174912135</v>
      </c>
      <c r="D163" s="56">
        <f>M88</f>
        <v>12.994830349824268</v>
      </c>
      <c r="E163" s="53">
        <f>AVERAGE(D163,G163)</f>
        <v>13.235914334151762</v>
      </c>
      <c r="F163" s="53"/>
      <c r="G163" s="56">
        <f>N88</f>
        <v>13.476998318479257</v>
      </c>
      <c r="H163" s="53">
        <f>AVERAGE(G163,I163)</f>
        <v>11.47840819296794</v>
      </c>
      <c r="I163" s="56">
        <f>O88</f>
        <v>9.4798180674566215</v>
      </c>
    </row>
    <row r="164" spans="1:9" x14ac:dyDescent="0.25">
      <c r="A164" s="54" t="s">
        <v>85</v>
      </c>
      <c r="B164" s="52">
        <f>L52</f>
        <v>2578</v>
      </c>
      <c r="C164" s="53">
        <f>AVERAGE(B164,D164)</f>
        <v>2199.6672450299161</v>
      </c>
      <c r="D164" s="56">
        <f>M99</f>
        <v>1821.3344900598324</v>
      </c>
      <c r="E164" s="53">
        <f>AVERAGE(D164,G164)</f>
        <v>1330.1232790296349</v>
      </c>
      <c r="F164" s="53"/>
      <c r="G164" s="56">
        <f>N99</f>
        <v>838.91206799943711</v>
      </c>
      <c r="H164" s="53">
        <f>AVERAGE(G164,I164)</f>
        <v>745.61874939236031</v>
      </c>
      <c r="I164" s="56">
        <f>O99</f>
        <v>652.32543078528352</v>
      </c>
    </row>
    <row r="165" spans="1:9" x14ac:dyDescent="0.25">
      <c r="A165" s="54"/>
    </row>
    <row r="166" spans="1:9" s="164" customFormat="1" x14ac:dyDescent="0.25">
      <c r="A166" s="211" t="s">
        <v>41</v>
      </c>
      <c r="B166" s="211">
        <v>2011</v>
      </c>
      <c r="C166" s="211">
        <v>2015</v>
      </c>
      <c r="D166" s="211">
        <v>2020</v>
      </c>
      <c r="E166" s="211">
        <v>2025</v>
      </c>
      <c r="F166" s="211"/>
      <c r="G166" s="211">
        <v>2030</v>
      </c>
      <c r="H166" s="211">
        <v>2040</v>
      </c>
      <c r="I166" s="211">
        <v>2050</v>
      </c>
    </row>
    <row r="167" spans="1:9" x14ac:dyDescent="0.25">
      <c r="A167" s="54" t="s">
        <v>44</v>
      </c>
      <c r="B167" s="55">
        <f>[8]TransportEE!D14</f>
        <v>2248000</v>
      </c>
      <c r="C167" s="55">
        <f>[8]TransportEE!E14</f>
        <v>2196370.4249105351</v>
      </c>
      <c r="D167" s="55">
        <f>[8]TransportEE!J14</f>
        <v>1986918.7766279592</v>
      </c>
      <c r="E167" s="55">
        <f>[8]TransportEE!O14</f>
        <v>1710274.5441133208</v>
      </c>
      <c r="F167" s="55"/>
      <c r="G167" s="55">
        <f>[8]TransportEE!T14</f>
        <v>1433630.3115986825</v>
      </c>
      <c r="H167" s="53">
        <f>[8]TransportEE!V14</f>
        <v>982257.6511180012</v>
      </c>
      <c r="I167" s="55">
        <f>[8]TransportEE!X14</f>
        <v>530884.99063731998</v>
      </c>
    </row>
    <row r="168" spans="1:9" x14ac:dyDescent="0.25">
      <c r="A168" s="54" t="s">
        <v>43</v>
      </c>
      <c r="B168" s="52">
        <f>B161</f>
        <v>11547</v>
      </c>
      <c r="C168" s="53">
        <f>AVERAGE(B168,D168)</f>
        <v>10464.681168678497</v>
      </c>
      <c r="D168" s="56">
        <f>M114</f>
        <v>9382.3623373569935</v>
      </c>
      <c r="E168" s="53">
        <f>AVERAGE(D168,G168)</f>
        <v>6346.7860628244762</v>
      </c>
      <c r="F168" s="53"/>
      <c r="G168" s="56">
        <f>N114</f>
        <v>3311.2097882919593</v>
      </c>
      <c r="H168" s="53">
        <f t="shared" ref="H168:H171" si="25">AVERAGE(G168,I168)</f>
        <v>2442.8308606545311</v>
      </c>
      <c r="I168" s="56">
        <f>O114</f>
        <v>1574.4519330171031</v>
      </c>
    </row>
    <row r="169" spans="1:9" x14ac:dyDescent="0.25">
      <c r="A169" s="54" t="s">
        <v>102</v>
      </c>
      <c r="B169" s="52">
        <f>B162</f>
        <v>499</v>
      </c>
      <c r="C169" s="53">
        <f>AVERAGE(B169,D169)</f>
        <v>377.37591869984442</v>
      </c>
      <c r="D169" s="56">
        <f>M125</f>
        <v>255.75183739968878</v>
      </c>
      <c r="E169" s="53">
        <f>AVERAGE(D169,G169)</f>
        <v>157.7467294717367</v>
      </c>
      <c r="F169" s="53"/>
      <c r="G169" s="56">
        <f>N125</f>
        <v>59.741621543784618</v>
      </c>
      <c r="H169" s="53">
        <f t="shared" si="25"/>
        <v>45.445733495196706</v>
      </c>
      <c r="I169" s="56">
        <f>O125</f>
        <v>31.149845446608797</v>
      </c>
    </row>
    <row r="170" spans="1:9" x14ac:dyDescent="0.25">
      <c r="A170" s="54" t="s">
        <v>83</v>
      </c>
      <c r="B170" s="52">
        <f>L41</f>
        <v>76</v>
      </c>
      <c r="C170" s="53">
        <f>AVERAGE(B170,D170)</f>
        <v>44.196060346830421</v>
      </c>
      <c r="D170" s="56">
        <f>M136</f>
        <v>12.392120693660845</v>
      </c>
      <c r="E170" s="53">
        <f>AVERAGE(D170,G170)</f>
        <v>11.2389595678454</v>
      </c>
      <c r="F170" s="53"/>
      <c r="G170" s="56">
        <f>N136</f>
        <v>10.085798442029956</v>
      </c>
      <c r="H170" s="53">
        <f t="shared" si="25"/>
        <v>8.095476745103765</v>
      </c>
      <c r="I170" s="56">
        <f>O136</f>
        <v>6.1051550481775747</v>
      </c>
    </row>
    <row r="171" spans="1:9" x14ac:dyDescent="0.25">
      <c r="A171" s="54" t="s">
        <v>85</v>
      </c>
      <c r="B171" s="52">
        <f>L52</f>
        <v>2578</v>
      </c>
      <c r="C171" s="53">
        <f>AVERAGE(B171,D171)</f>
        <v>2186.8247549311191</v>
      </c>
      <c r="D171" s="56">
        <f>M147</f>
        <v>1795.6495098622383</v>
      </c>
      <c r="E171" s="53">
        <f>AVERAGE(D171,G171)</f>
        <v>1258.610839707635</v>
      </c>
      <c r="F171" s="53"/>
      <c r="G171" s="56">
        <f>N147</f>
        <v>721.57216955303193</v>
      </c>
      <c r="H171" s="53">
        <f t="shared" si="25"/>
        <v>558.95433775381798</v>
      </c>
      <c r="I171" s="56">
        <f>O147</f>
        <v>396.33650595460409</v>
      </c>
    </row>
    <row r="172" spans="1:9" x14ac:dyDescent="0.25">
      <c r="D172" s="54"/>
      <c r="E172" s="54"/>
      <c r="F172" s="54"/>
      <c r="G172" s="54"/>
      <c r="I172" s="54"/>
    </row>
    <row r="173" spans="1:9" x14ac:dyDescent="0.25">
      <c r="A173" s="54" t="s">
        <v>44</v>
      </c>
      <c r="B173" s="54">
        <v>2011</v>
      </c>
      <c r="C173" s="54">
        <v>2015</v>
      </c>
      <c r="D173" s="54">
        <v>2020</v>
      </c>
      <c r="E173" s="54">
        <v>2025</v>
      </c>
      <c r="F173" s="54"/>
      <c r="G173" s="54">
        <v>2030</v>
      </c>
      <c r="H173" s="54">
        <v>2040</v>
      </c>
      <c r="I173" s="54">
        <v>2050</v>
      </c>
    </row>
    <row r="174" spans="1:9" x14ac:dyDescent="0.25">
      <c r="A174" s="54" t="s">
        <v>42</v>
      </c>
      <c r="B174" s="55">
        <f>B153</f>
        <v>2248000</v>
      </c>
      <c r="C174" s="55">
        <f>C153</f>
        <v>2394646.6779310168</v>
      </c>
      <c r="D174" s="55">
        <f>D153</f>
        <v>2653907.2548743365</v>
      </c>
      <c r="E174" s="55">
        <f>E153</f>
        <v>2816614.7185939001</v>
      </c>
      <c r="F174" s="55"/>
      <c r="G174" s="55">
        <f>G153</f>
        <v>3087233.270393461</v>
      </c>
      <c r="H174" s="53">
        <f t="shared" ref="H174:H176" si="26">AVERAGE(G174,I174)</f>
        <v>2788935.0459882622</v>
      </c>
      <c r="I174" s="55">
        <f>I153</f>
        <v>2490636.8215830633</v>
      </c>
    </row>
    <row r="175" spans="1:9" x14ac:dyDescent="0.25">
      <c r="A175" s="54" t="s">
        <v>24</v>
      </c>
      <c r="B175" s="55">
        <f>B160</f>
        <v>2248000</v>
      </c>
      <c r="C175" s="55">
        <f>C160</f>
        <v>2215366.2714910498</v>
      </c>
      <c r="D175" s="55">
        <f>D160</f>
        <v>2295346.4419944016</v>
      </c>
      <c r="E175" s="55">
        <f>E160</f>
        <v>2327318.0008590966</v>
      </c>
      <c r="F175" s="55"/>
      <c r="G175" s="55">
        <f>G160</f>
        <v>2359289.5597237912</v>
      </c>
      <c r="H175" s="53">
        <f t="shared" si="26"/>
        <v>2125835.9434233787</v>
      </c>
      <c r="I175" s="55">
        <f>I160</f>
        <v>1892382.3271229663</v>
      </c>
    </row>
    <row r="176" spans="1:9" x14ac:dyDescent="0.25">
      <c r="A176" s="54" t="s">
        <v>41</v>
      </c>
      <c r="B176" s="55">
        <f>B167</f>
        <v>2248000</v>
      </c>
      <c r="C176" s="55">
        <f>C167</f>
        <v>2196370.4249105351</v>
      </c>
      <c r="D176" s="55">
        <f>D167</f>
        <v>1986918.7766279592</v>
      </c>
      <c r="E176" s="55">
        <f>E167</f>
        <v>1710274.5441133208</v>
      </c>
      <c r="F176" s="55"/>
      <c r="G176" s="55">
        <f>G167</f>
        <v>1433630.3115986825</v>
      </c>
      <c r="H176" s="53">
        <f t="shared" si="26"/>
        <v>982257.6511180012</v>
      </c>
      <c r="I176" s="55">
        <f>I167</f>
        <v>530884.99063731998</v>
      </c>
    </row>
    <row r="178" spans="1:9" x14ac:dyDescent="0.25">
      <c r="A178" s="46" t="s">
        <v>43</v>
      </c>
      <c r="B178" s="46">
        <v>2011</v>
      </c>
      <c r="C178" s="46">
        <v>2015</v>
      </c>
      <c r="D178" s="46">
        <v>2020</v>
      </c>
      <c r="E178" s="46">
        <v>2025</v>
      </c>
      <c r="F178" s="46"/>
      <c r="G178" s="46">
        <v>2030</v>
      </c>
      <c r="H178" s="46">
        <v>2040</v>
      </c>
      <c r="I178" s="46">
        <v>2050</v>
      </c>
    </row>
    <row r="179" spans="1:9" x14ac:dyDescent="0.25">
      <c r="A179" s="46" t="s">
        <v>42</v>
      </c>
      <c r="B179" s="212">
        <f>B154</f>
        <v>11547</v>
      </c>
      <c r="C179" s="212">
        <f>C154</f>
        <v>11241.824886642728</v>
      </c>
      <c r="D179" s="212">
        <f>D154</f>
        <v>10936.649773285453</v>
      </c>
      <c r="E179" s="212">
        <f>E154</f>
        <v>8187.1607763131724</v>
      </c>
      <c r="F179" s="212"/>
      <c r="G179" s="212">
        <f>G154</f>
        <v>5437.6717793408925</v>
      </c>
      <c r="H179" s="212">
        <f t="shared" ref="H179:H181" si="27">AVERAGE(G179,I179)</f>
        <v>4775.0774668934791</v>
      </c>
      <c r="I179" s="212">
        <f>I154</f>
        <v>4112.4831544460658</v>
      </c>
    </row>
    <row r="180" spans="1:9" x14ac:dyDescent="0.25">
      <c r="A180" s="46" t="s">
        <v>24</v>
      </c>
      <c r="B180" s="212">
        <f>B161</f>
        <v>11547</v>
      </c>
      <c r="C180" s="212">
        <f>C161</f>
        <v>10600.78760539864</v>
      </c>
      <c r="D180" s="212">
        <f>D161</f>
        <v>9654.5752107972803</v>
      </c>
      <c r="E180" s="212">
        <f>E161</f>
        <v>6991.1111204496146</v>
      </c>
      <c r="F180" s="212"/>
      <c r="G180" s="212">
        <f>G161</f>
        <v>4327.647030101949</v>
      </c>
      <c r="H180" s="212">
        <f t="shared" si="27"/>
        <v>3698.4454131484799</v>
      </c>
      <c r="I180" s="212">
        <f>I161</f>
        <v>3069.2437961950113</v>
      </c>
    </row>
    <row r="181" spans="1:9" x14ac:dyDescent="0.25">
      <c r="A181" s="46" t="s">
        <v>41</v>
      </c>
      <c r="B181" s="212">
        <f>B168</f>
        <v>11547</v>
      </c>
      <c r="C181" s="212">
        <f>C168</f>
        <v>10464.681168678497</v>
      </c>
      <c r="D181" s="212">
        <f>D168</f>
        <v>9382.3623373569935</v>
      </c>
      <c r="E181" s="212">
        <f>E168</f>
        <v>6346.7860628244762</v>
      </c>
      <c r="F181" s="212"/>
      <c r="G181" s="212">
        <f>G168</f>
        <v>3311.2097882919593</v>
      </c>
      <c r="H181" s="212">
        <f t="shared" si="27"/>
        <v>2442.8308606545311</v>
      </c>
      <c r="I181" s="212">
        <f>I168</f>
        <v>1574.4519330171031</v>
      </c>
    </row>
    <row r="182" spans="1:9" x14ac:dyDescent="0.25">
      <c r="A182" s="36"/>
      <c r="B182" s="36"/>
      <c r="C182" s="36"/>
      <c r="D182" s="36"/>
      <c r="E182" s="36"/>
      <c r="F182" s="36"/>
      <c r="G182" s="36"/>
      <c r="H182" s="36"/>
      <c r="I182" s="36"/>
    </row>
    <row r="183" spans="1:9" x14ac:dyDescent="0.25">
      <c r="A183" s="46" t="s">
        <v>102</v>
      </c>
      <c r="B183" s="46">
        <v>2011</v>
      </c>
      <c r="C183" s="46">
        <v>2015</v>
      </c>
      <c r="D183" s="46">
        <v>2020</v>
      </c>
      <c r="E183" s="46">
        <v>2025</v>
      </c>
      <c r="F183" s="46"/>
      <c r="G183" s="46">
        <v>2030</v>
      </c>
      <c r="H183" s="46">
        <v>2040</v>
      </c>
      <c r="I183" s="46">
        <v>2050</v>
      </c>
    </row>
    <row r="184" spans="1:9" x14ac:dyDescent="0.25">
      <c r="A184" s="46" t="s">
        <v>42</v>
      </c>
      <c r="B184" s="212">
        <f>B155</f>
        <v>499</v>
      </c>
      <c r="C184" s="212">
        <f>C155</f>
        <v>396.87667813740211</v>
      </c>
      <c r="D184" s="212">
        <f>D155</f>
        <v>294.75335627480422</v>
      </c>
      <c r="E184" s="212">
        <f>E155</f>
        <v>201.92424648411378</v>
      </c>
      <c r="F184" s="212"/>
      <c r="G184" s="212">
        <f>G155</f>
        <v>109.09513669342337</v>
      </c>
      <c r="H184" s="212">
        <f t="shared" ref="H184:H186" si="28">AVERAGE(G184,I184)</f>
        <v>100.07792184880806</v>
      </c>
      <c r="I184" s="212">
        <f>I155</f>
        <v>91.06070700419275</v>
      </c>
    </row>
    <row r="185" spans="1:9" x14ac:dyDescent="0.25">
      <c r="A185" s="46" t="s">
        <v>24</v>
      </c>
      <c r="B185" s="212">
        <f>B162</f>
        <v>499</v>
      </c>
      <c r="C185" s="212">
        <f>C162</f>
        <v>382.04363922878736</v>
      </c>
      <c r="D185" s="212">
        <f>D162</f>
        <v>265.08727845757471</v>
      </c>
      <c r="E185" s="212">
        <f>E162</f>
        <v>175.67518353333026</v>
      </c>
      <c r="F185" s="212"/>
      <c r="G185" s="212">
        <f>G162</f>
        <v>86.263088609085813</v>
      </c>
      <c r="H185" s="212">
        <f t="shared" si="28"/>
        <v>78.927712370238879</v>
      </c>
      <c r="I185" s="212">
        <f>I162</f>
        <v>71.592336131391932</v>
      </c>
    </row>
    <row r="186" spans="1:9" x14ac:dyDescent="0.25">
      <c r="A186" s="46" t="s">
        <v>41</v>
      </c>
      <c r="B186" s="212">
        <f>B169</f>
        <v>499</v>
      </c>
      <c r="C186" s="212">
        <f>C169</f>
        <v>377.37591869984442</v>
      </c>
      <c r="D186" s="212">
        <f>D169</f>
        <v>255.75183739968878</v>
      </c>
      <c r="E186" s="212">
        <f>E169</f>
        <v>157.7467294717367</v>
      </c>
      <c r="F186" s="212"/>
      <c r="G186" s="212">
        <f>G169</f>
        <v>59.741621543784618</v>
      </c>
      <c r="H186" s="212">
        <f t="shared" si="28"/>
        <v>45.445733495196706</v>
      </c>
      <c r="I186" s="212">
        <f>I169</f>
        <v>31.149845446608797</v>
      </c>
    </row>
    <row r="187" spans="1:9" x14ac:dyDescent="0.25">
      <c r="A187" s="36"/>
      <c r="B187" s="36"/>
      <c r="C187" s="36"/>
      <c r="D187" s="36"/>
      <c r="E187" s="36"/>
      <c r="F187" s="36"/>
      <c r="G187" s="36"/>
      <c r="H187" s="36"/>
      <c r="I187" s="36"/>
    </row>
    <row r="188" spans="1:9" x14ac:dyDescent="0.25">
      <c r="A188" s="46" t="s">
        <v>83</v>
      </c>
      <c r="B188" s="46">
        <v>2011</v>
      </c>
      <c r="C188" s="46">
        <v>2015</v>
      </c>
      <c r="D188" s="46">
        <v>2020</v>
      </c>
      <c r="E188" s="46">
        <v>2025</v>
      </c>
      <c r="F188" s="46"/>
      <c r="G188" s="46">
        <v>2030</v>
      </c>
      <c r="H188" s="46">
        <v>2040</v>
      </c>
      <c r="I188" s="46">
        <v>2050</v>
      </c>
    </row>
    <row r="189" spans="1:9" x14ac:dyDescent="0.25">
      <c r="A189" s="46" t="s">
        <v>42</v>
      </c>
      <c r="B189" s="36">
        <f>L41</f>
        <v>76</v>
      </c>
      <c r="C189" s="212">
        <f>AVERAGE(B189,D189)</f>
        <v>45.474292147806842</v>
      </c>
      <c r="D189" s="212">
        <f>D156</f>
        <v>14.948584295613685</v>
      </c>
      <c r="E189" s="212">
        <f t="shared" ref="E189:I189" si="29">E156</f>
        <v>15.650091683094727</v>
      </c>
      <c r="F189" s="212">
        <f t="shared" si="29"/>
        <v>0</v>
      </c>
      <c r="G189" s="212">
        <f t="shared" si="29"/>
        <v>16.351599070575769</v>
      </c>
      <c r="H189" s="212">
        <f t="shared" si="29"/>
        <v>14.608699086659978</v>
      </c>
      <c r="I189" s="212">
        <f t="shared" si="29"/>
        <v>12.865799102744189</v>
      </c>
    </row>
    <row r="190" spans="1:9" x14ac:dyDescent="0.25">
      <c r="A190" s="46" t="s">
        <v>24</v>
      </c>
      <c r="B190" s="36">
        <f>L41</f>
        <v>76</v>
      </c>
      <c r="C190" s="212">
        <f t="shared" ref="C190:C191" si="30">AVERAGE(B190,D190)</f>
        <v>44.497415174912135</v>
      </c>
      <c r="D190" s="212">
        <f>D163</f>
        <v>12.994830349824268</v>
      </c>
      <c r="E190" s="212">
        <f t="shared" ref="E190:I190" si="31">E163</f>
        <v>13.235914334151762</v>
      </c>
      <c r="F190" s="212">
        <f t="shared" si="31"/>
        <v>0</v>
      </c>
      <c r="G190" s="212">
        <f t="shared" si="31"/>
        <v>13.476998318479257</v>
      </c>
      <c r="H190" s="212">
        <f t="shared" si="31"/>
        <v>11.47840819296794</v>
      </c>
      <c r="I190" s="212">
        <f t="shared" si="31"/>
        <v>9.4798180674566215</v>
      </c>
    </row>
    <row r="191" spans="1:9" x14ac:dyDescent="0.25">
      <c r="A191" s="46" t="s">
        <v>41</v>
      </c>
      <c r="B191" s="36">
        <f>L41</f>
        <v>76</v>
      </c>
      <c r="C191" s="212">
        <f t="shared" si="30"/>
        <v>44.196060346830421</v>
      </c>
      <c r="D191" s="212">
        <f>D170</f>
        <v>12.392120693660845</v>
      </c>
      <c r="E191" s="212">
        <f t="shared" ref="E191:I191" si="32">E170</f>
        <v>11.2389595678454</v>
      </c>
      <c r="F191" s="212">
        <f t="shared" si="32"/>
        <v>0</v>
      </c>
      <c r="G191" s="212">
        <f t="shared" si="32"/>
        <v>10.085798442029956</v>
      </c>
      <c r="H191" s="212">
        <f t="shared" si="32"/>
        <v>8.095476745103765</v>
      </c>
      <c r="I191" s="212">
        <f t="shared" si="32"/>
        <v>6.1051550481775747</v>
      </c>
    </row>
    <row r="192" spans="1:9" x14ac:dyDescent="0.25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x14ac:dyDescent="0.25">
      <c r="A193" s="46" t="s">
        <v>85</v>
      </c>
      <c r="B193" s="46">
        <v>2011</v>
      </c>
      <c r="C193" s="46">
        <v>2015</v>
      </c>
      <c r="D193" s="46">
        <v>2020</v>
      </c>
      <c r="E193" s="46">
        <v>2025</v>
      </c>
      <c r="F193" s="46"/>
      <c r="G193" s="46">
        <v>2030</v>
      </c>
      <c r="H193" s="46">
        <v>2040</v>
      </c>
      <c r="I193" s="46">
        <v>2050</v>
      </c>
    </row>
    <row r="194" spans="1:9" x14ac:dyDescent="0.25">
      <c r="A194" s="46" t="s">
        <v>42</v>
      </c>
      <c r="B194" s="36">
        <f>L52</f>
        <v>2578</v>
      </c>
      <c r="C194" s="212">
        <f>C157</f>
        <v>2260.5762025608074</v>
      </c>
      <c r="D194" s="212">
        <f>D157</f>
        <v>1943.1524051216152</v>
      </c>
      <c r="E194" s="212">
        <f t="shared" ref="E194:I194" si="33">E157</f>
        <v>1320.2372437411252</v>
      </c>
      <c r="F194" s="212">
        <f t="shared" si="33"/>
        <v>0</v>
      </c>
      <c r="G194" s="212">
        <f t="shared" si="33"/>
        <v>697.32208236063514</v>
      </c>
      <c r="H194" s="212">
        <f t="shared" si="33"/>
        <v>610.04996338180433</v>
      </c>
      <c r="I194" s="212">
        <f t="shared" si="33"/>
        <v>522.77784440297353</v>
      </c>
    </row>
    <row r="195" spans="1:9" x14ac:dyDescent="0.25">
      <c r="A195" s="46" t="s">
        <v>24</v>
      </c>
      <c r="B195" s="36">
        <f>L52</f>
        <v>2578</v>
      </c>
      <c r="C195" s="212">
        <f>C164</f>
        <v>2199.6672450299161</v>
      </c>
      <c r="D195" s="212">
        <f>D164</f>
        <v>1821.3344900598324</v>
      </c>
      <c r="E195" s="212">
        <f t="shared" ref="E195:I195" si="34">E164</f>
        <v>1330.1232790296349</v>
      </c>
      <c r="F195" s="212">
        <f t="shared" si="34"/>
        <v>0</v>
      </c>
      <c r="G195" s="212">
        <f t="shared" si="34"/>
        <v>838.91206799943711</v>
      </c>
      <c r="H195" s="212">
        <f t="shared" si="34"/>
        <v>745.61874939236031</v>
      </c>
      <c r="I195" s="212">
        <f t="shared" si="34"/>
        <v>652.32543078528352</v>
      </c>
    </row>
    <row r="196" spans="1:9" x14ac:dyDescent="0.25">
      <c r="A196" s="46" t="s">
        <v>41</v>
      </c>
      <c r="B196" s="36">
        <f>L52</f>
        <v>2578</v>
      </c>
      <c r="C196" s="212">
        <f>C171:I171</f>
        <v>2186.8247549311191</v>
      </c>
      <c r="D196" s="212">
        <f>D171:J171</f>
        <v>1795.6495098622383</v>
      </c>
      <c r="E196" s="212">
        <f>E171:K171</f>
        <v>1258.610839707635</v>
      </c>
      <c r="F196" s="212">
        <f t="shared" ref="F196:I196" si="35">F171:L171</f>
        <v>0</v>
      </c>
      <c r="G196" s="212">
        <f t="shared" si="35"/>
        <v>721.57216955303193</v>
      </c>
      <c r="H196" s="212">
        <f t="shared" si="35"/>
        <v>558.95433775381798</v>
      </c>
      <c r="I196" s="212">
        <f t="shared" si="35"/>
        <v>396.33650595460409</v>
      </c>
    </row>
    <row r="204" spans="1:9" x14ac:dyDescent="0.25">
      <c r="A204" s="52" t="s">
        <v>89</v>
      </c>
    </row>
    <row r="205" spans="1:9" x14ac:dyDescent="0.25">
      <c r="A205" s="52" t="s">
        <v>88</v>
      </c>
    </row>
    <row r="206" spans="1:9" x14ac:dyDescent="0.25">
      <c r="A206" s="52" t="s">
        <v>90</v>
      </c>
    </row>
  </sheetData>
  <mergeCells count="12">
    <mergeCell ref="L137:N137"/>
    <mergeCell ref="L9:N9"/>
    <mergeCell ref="L20:N20"/>
    <mergeCell ref="L31:N31"/>
    <mergeCell ref="L42:N42"/>
    <mergeCell ref="L56:N56"/>
    <mergeCell ref="L67:N67"/>
    <mergeCell ref="L78:N78"/>
    <mergeCell ref="L89:N89"/>
    <mergeCell ref="L104:N104"/>
    <mergeCell ref="L115:N115"/>
    <mergeCell ref="L126:N126"/>
  </mergeCells>
  <hyperlinks>
    <hyperlink ref="P15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topLeftCell="A10" workbookViewId="0">
      <selection activeCell="L31" sqref="L31"/>
    </sheetView>
  </sheetViews>
  <sheetFormatPr defaultRowHeight="13.2" x14ac:dyDescent="0.25"/>
  <sheetData>
    <row r="3" spans="1:4" ht="15.6" x14ac:dyDescent="0.3">
      <c r="B3" s="96" t="s">
        <v>68</v>
      </c>
      <c r="C3" s="96"/>
      <c r="D3" s="96"/>
    </row>
    <row r="4" spans="1:4" x14ac:dyDescent="0.25">
      <c r="B4" s="97" t="s">
        <v>69</v>
      </c>
    </row>
    <row r="5" spans="1:4" x14ac:dyDescent="0.25">
      <c r="B5" s="98"/>
      <c r="C5" s="98">
        <v>2010</v>
      </c>
      <c r="D5" s="99" t="s">
        <v>70</v>
      </c>
    </row>
    <row r="6" spans="1:4" x14ac:dyDescent="0.25">
      <c r="B6" s="98" t="s">
        <v>71</v>
      </c>
      <c r="C6" s="100">
        <v>11728.640310501802</v>
      </c>
      <c r="D6" s="101">
        <f>C6*100/$C$12/100</f>
        <v>0.41191307937408811</v>
      </c>
    </row>
    <row r="7" spans="1:4" x14ac:dyDescent="0.25">
      <c r="B7" s="98" t="s">
        <v>72</v>
      </c>
      <c r="C7" s="100">
        <v>16744.940398136423</v>
      </c>
      <c r="D7" s="101">
        <f>C7*100/$C$12/100</f>
        <v>0.58808692062591184</v>
      </c>
    </row>
    <row r="8" spans="1:4" x14ac:dyDescent="0.25">
      <c r="B8" s="98" t="s">
        <v>73</v>
      </c>
      <c r="C8" s="100">
        <v>644.16701085675732</v>
      </c>
      <c r="D8" s="101">
        <f>C8*100/$C$12/100</f>
        <v>2.2623322912854862E-2</v>
      </c>
    </row>
    <row r="9" spans="1:4" x14ac:dyDescent="0.25">
      <c r="B9" s="98" t="s">
        <v>74</v>
      </c>
      <c r="C9" s="100">
        <v>15380.122753668071</v>
      </c>
      <c r="D9" s="101">
        <f>C9*100/$C$12/100</f>
        <v>0.54015414889501756</v>
      </c>
    </row>
    <row r="10" spans="1:4" x14ac:dyDescent="0.25">
      <c r="B10" s="98" t="s">
        <v>75</v>
      </c>
      <c r="C10" s="100">
        <v>12449.290944113392</v>
      </c>
      <c r="D10" s="101">
        <f>C10*100/$C$12/100</f>
        <v>0.43722252819212742</v>
      </c>
    </row>
    <row r="11" spans="1:4" x14ac:dyDescent="0.25">
      <c r="B11" s="98"/>
      <c r="C11" s="100"/>
      <c r="D11" s="102"/>
    </row>
    <row r="12" spans="1:4" x14ac:dyDescent="0.25">
      <c r="B12" s="98" t="s">
        <v>76</v>
      </c>
      <c r="C12" s="100">
        <v>28473.580708638226</v>
      </c>
      <c r="D12" s="102"/>
    </row>
    <row r="15" spans="1:4" ht="15.6" x14ac:dyDescent="0.3">
      <c r="A15" s="96" t="s">
        <v>77</v>
      </c>
    </row>
    <row r="16" spans="1:4" ht="14.4" x14ac:dyDescent="0.3">
      <c r="A16" s="103" t="s">
        <v>36</v>
      </c>
      <c r="B16" s="103"/>
      <c r="C16" s="103">
        <v>2000</v>
      </c>
      <c r="D16" s="103">
        <v>2005</v>
      </c>
    </row>
    <row r="17" spans="1:4" ht="14.4" x14ac:dyDescent="0.3">
      <c r="A17" s="271"/>
      <c r="B17" s="104" t="s">
        <v>78</v>
      </c>
      <c r="C17" s="102">
        <v>37</v>
      </c>
      <c r="D17" s="102">
        <v>39</v>
      </c>
    </row>
    <row r="18" spans="1:4" ht="14.4" x14ac:dyDescent="0.3">
      <c r="A18" s="272"/>
      <c r="B18" s="104" t="s">
        <v>79</v>
      </c>
      <c r="C18" s="102">
        <v>61</v>
      </c>
      <c r="D18" s="102">
        <v>58</v>
      </c>
    </row>
    <row r="19" spans="1:4" ht="14.4" x14ac:dyDescent="0.3">
      <c r="A19" s="273"/>
      <c r="B19" s="104" t="s">
        <v>80</v>
      </c>
      <c r="C19" s="102">
        <v>2</v>
      </c>
      <c r="D19" s="102">
        <v>3</v>
      </c>
    </row>
    <row r="20" spans="1:4" ht="14.4" x14ac:dyDescent="0.3">
      <c r="A20" s="103" t="s">
        <v>81</v>
      </c>
      <c r="B20" s="103"/>
      <c r="C20" s="103"/>
      <c r="D20" s="103"/>
    </row>
    <row r="21" spans="1:4" ht="14.4" x14ac:dyDescent="0.3">
      <c r="A21" s="271"/>
      <c r="B21" s="104" t="s">
        <v>78</v>
      </c>
      <c r="C21" s="102">
        <v>40</v>
      </c>
      <c r="D21" s="102">
        <v>40</v>
      </c>
    </row>
    <row r="22" spans="1:4" ht="14.4" x14ac:dyDescent="0.3">
      <c r="A22" s="272"/>
      <c r="B22" s="104" t="s">
        <v>79</v>
      </c>
      <c r="C22" s="102">
        <v>58</v>
      </c>
      <c r="D22" s="102">
        <v>57</v>
      </c>
    </row>
    <row r="23" spans="1:4" ht="14.4" x14ac:dyDescent="0.3">
      <c r="A23" s="273"/>
      <c r="B23" s="104" t="s">
        <v>80</v>
      </c>
      <c r="C23" s="102">
        <v>2</v>
      </c>
      <c r="D23" s="102">
        <v>3</v>
      </c>
    </row>
    <row r="24" spans="1:4" ht="14.4" x14ac:dyDescent="0.3">
      <c r="A24" s="103" t="s">
        <v>34</v>
      </c>
      <c r="B24" s="103"/>
      <c r="C24" s="103"/>
      <c r="D24" s="103"/>
    </row>
    <row r="25" spans="1:4" ht="14.4" x14ac:dyDescent="0.3">
      <c r="A25" s="271"/>
      <c r="B25" s="104" t="s">
        <v>78</v>
      </c>
      <c r="C25" s="102">
        <v>20</v>
      </c>
      <c r="D25" s="102">
        <v>18</v>
      </c>
    </row>
    <row r="26" spans="1:4" ht="14.4" x14ac:dyDescent="0.3">
      <c r="A26" s="272"/>
      <c r="B26" s="104" t="s">
        <v>79</v>
      </c>
      <c r="C26" s="102">
        <v>79</v>
      </c>
      <c r="D26" s="102">
        <v>80</v>
      </c>
    </row>
    <row r="27" spans="1:4" ht="14.4" x14ac:dyDescent="0.3">
      <c r="A27" s="273"/>
      <c r="B27" s="104" t="s">
        <v>80</v>
      </c>
      <c r="C27" s="102">
        <v>1</v>
      </c>
      <c r="D27" s="102">
        <v>2</v>
      </c>
    </row>
    <row r="28" spans="1:4" ht="14.4" x14ac:dyDescent="0.3">
      <c r="A28" s="103" t="s">
        <v>35</v>
      </c>
      <c r="B28" s="103"/>
      <c r="C28" s="103"/>
      <c r="D28" s="103"/>
    </row>
    <row r="29" spans="1:4" ht="14.4" x14ac:dyDescent="0.3">
      <c r="A29" s="271"/>
      <c r="B29" s="104" t="s">
        <v>78</v>
      </c>
      <c r="C29" s="102">
        <v>32</v>
      </c>
      <c r="D29" s="102">
        <v>32</v>
      </c>
    </row>
    <row r="30" spans="1:4" ht="14.4" x14ac:dyDescent="0.3">
      <c r="A30" s="272"/>
      <c r="B30" s="104" t="s">
        <v>79</v>
      </c>
      <c r="C30" s="102">
        <v>67</v>
      </c>
      <c r="D30" s="102">
        <v>67</v>
      </c>
    </row>
    <row r="31" spans="1:4" ht="14.4" x14ac:dyDescent="0.3">
      <c r="A31" s="273"/>
      <c r="B31" s="104" t="s">
        <v>80</v>
      </c>
      <c r="C31" s="102">
        <v>1</v>
      </c>
      <c r="D31" s="102">
        <v>1</v>
      </c>
    </row>
    <row r="32" spans="1:4" ht="14.4" x14ac:dyDescent="0.3">
      <c r="A32" s="103" t="s">
        <v>82</v>
      </c>
      <c r="B32" s="103"/>
      <c r="C32" s="103"/>
      <c r="D32" s="103"/>
    </row>
    <row r="33" spans="1:4" ht="14.4" x14ac:dyDescent="0.3">
      <c r="A33" s="271"/>
      <c r="B33" s="104" t="s">
        <v>78</v>
      </c>
      <c r="C33" s="102">
        <v>35</v>
      </c>
      <c r="D33" s="102">
        <v>35</v>
      </c>
    </row>
    <row r="34" spans="1:4" ht="14.4" x14ac:dyDescent="0.3">
      <c r="A34" s="272"/>
      <c r="B34" s="104" t="s">
        <v>79</v>
      </c>
      <c r="C34" s="102">
        <v>64</v>
      </c>
      <c r="D34" s="102">
        <v>63</v>
      </c>
    </row>
    <row r="35" spans="1:4" ht="14.4" x14ac:dyDescent="0.3">
      <c r="A35" s="273"/>
      <c r="B35" s="104" t="s">
        <v>80</v>
      </c>
      <c r="C35" s="102">
        <v>1</v>
      </c>
      <c r="D35" s="102">
        <v>2</v>
      </c>
    </row>
  </sheetData>
  <mergeCells count="5">
    <mergeCell ref="A17:A19"/>
    <mergeCell ref="A21:A23"/>
    <mergeCell ref="A25:A27"/>
    <mergeCell ref="A29:A31"/>
    <mergeCell ref="A33:A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91"/>
  <sheetViews>
    <sheetView zoomScale="115" zoomScaleNormal="115" workbookViewId="0">
      <selection activeCell="D36" sqref="D36"/>
    </sheetView>
  </sheetViews>
  <sheetFormatPr defaultRowHeight="13.2" x14ac:dyDescent="0.25"/>
  <cols>
    <col min="5" max="5" width="14.88671875" customWidth="1"/>
    <col min="8" max="8" width="10.33203125" bestFit="1" customWidth="1"/>
  </cols>
  <sheetData>
    <row r="2" spans="1:23" ht="13.8" thickBot="1" x14ac:dyDescent="0.3"/>
    <row r="3" spans="1:23" ht="39.6" x14ac:dyDescent="0.25">
      <c r="A3" s="45"/>
      <c r="B3" s="10" t="s">
        <v>20</v>
      </c>
      <c r="C3" s="10"/>
      <c r="D3" s="10"/>
      <c r="E3" s="10"/>
      <c r="F3" s="10"/>
      <c r="G3" s="12" t="s">
        <v>11</v>
      </c>
      <c r="H3" s="44"/>
      <c r="I3" s="10"/>
      <c r="J3" s="9"/>
      <c r="L3" s="51" t="s">
        <v>40</v>
      </c>
      <c r="M3" s="51">
        <v>2020</v>
      </c>
      <c r="N3" s="274" t="s">
        <v>39</v>
      </c>
      <c r="O3" s="274"/>
      <c r="P3" s="274"/>
      <c r="Q3" s="274"/>
    </row>
    <row r="4" spans="1:23" x14ac:dyDescent="0.25">
      <c r="A4" s="8"/>
      <c r="B4" s="7" t="s">
        <v>10</v>
      </c>
      <c r="C4" s="7" t="s">
        <v>26</v>
      </c>
      <c r="D4" s="7" t="s">
        <v>25</v>
      </c>
      <c r="E4" s="7" t="s">
        <v>24</v>
      </c>
      <c r="F4" s="7"/>
      <c r="G4" s="8" t="s">
        <v>10</v>
      </c>
      <c r="H4" s="7" t="s">
        <v>26</v>
      </c>
      <c r="I4" s="7" t="s">
        <v>25</v>
      </c>
      <c r="J4" s="34" t="s">
        <v>24</v>
      </c>
      <c r="N4" s="25" t="s">
        <v>10</v>
      </c>
      <c r="O4" s="25" t="s">
        <v>26</v>
      </c>
      <c r="P4" s="25" t="s">
        <v>25</v>
      </c>
      <c r="Q4" s="25" t="s">
        <v>24</v>
      </c>
      <c r="S4">
        <v>1000</v>
      </c>
    </row>
    <row r="5" spans="1:23" x14ac:dyDescent="0.25">
      <c r="A5" s="8"/>
      <c r="B5" s="7"/>
      <c r="C5" s="7"/>
      <c r="D5" s="7"/>
      <c r="E5" s="7"/>
      <c r="F5" s="7"/>
      <c r="G5" s="8"/>
      <c r="H5" s="7"/>
      <c r="I5" s="7"/>
      <c r="J5" s="34"/>
    </row>
    <row r="6" spans="1:23" x14ac:dyDescent="0.25">
      <c r="A6" s="8"/>
      <c r="B6" s="33">
        <v>12527</v>
      </c>
      <c r="C6" s="33">
        <v>15935.775102505178</v>
      </c>
      <c r="D6" s="33">
        <v>14342.197592254663</v>
      </c>
      <c r="E6" s="33">
        <v>15157.669999999998</v>
      </c>
      <c r="F6" s="7"/>
      <c r="G6" s="50">
        <v>6215</v>
      </c>
      <c r="H6" s="32">
        <v>8081.0223473792639</v>
      </c>
      <c r="I6" s="32">
        <v>6947.4731517759119</v>
      </c>
      <c r="J6" s="31">
        <v>7277.5521667247758</v>
      </c>
    </row>
    <row r="7" spans="1:23" ht="15.75" customHeight="1" x14ac:dyDescent="0.25">
      <c r="A7" s="8" t="s">
        <v>17</v>
      </c>
      <c r="B7" s="28">
        <v>10011.142433904823</v>
      </c>
      <c r="C7" s="28">
        <v>13063.672518921241</v>
      </c>
      <c r="D7" s="28">
        <v>11445.073678619219</v>
      </c>
      <c r="E7" s="28">
        <v>12277.7127</v>
      </c>
      <c r="F7" s="7" t="s">
        <v>17</v>
      </c>
      <c r="G7" s="48">
        <v>6104.4</v>
      </c>
      <c r="H7" s="15">
        <v>7965.653974951977</v>
      </c>
      <c r="I7" s="15">
        <v>6812.5438563209636</v>
      </c>
      <c r="J7" s="21">
        <v>7138.2050581395351</v>
      </c>
      <c r="L7" s="16">
        <v>13000</v>
      </c>
      <c r="M7" s="16">
        <v>14000</v>
      </c>
      <c r="N7" s="16">
        <f>(G7/$L$7)*1000</f>
        <v>469.56923076923073</v>
      </c>
      <c r="O7" s="16">
        <f>(H7/$M$7)*1000</f>
        <v>568.97528392514118</v>
      </c>
      <c r="P7" s="16">
        <f>(I7/$M$7)*1000</f>
        <v>486.61027545149739</v>
      </c>
      <c r="Q7" s="16">
        <f>(J7/$M$7)*1000</f>
        <v>509.87178986710967</v>
      </c>
      <c r="T7" t="s">
        <v>38</v>
      </c>
    </row>
    <row r="8" spans="1:23" x14ac:dyDescent="0.25">
      <c r="A8" s="8" t="s">
        <v>16</v>
      </c>
      <c r="B8" s="28">
        <v>2068.4302996314696</v>
      </c>
      <c r="C8" s="28">
        <v>2068.4302996314696</v>
      </c>
      <c r="D8" s="28">
        <v>1864.4856869931059</v>
      </c>
      <c r="E8" s="28">
        <v>1940.1817599999999</v>
      </c>
      <c r="F8" s="7" t="s">
        <v>16</v>
      </c>
      <c r="G8" s="48">
        <v>103.4</v>
      </c>
      <c r="H8" s="15">
        <v>103.42151498157348</v>
      </c>
      <c r="I8" s="15">
        <v>93.224284349655292</v>
      </c>
      <c r="J8" s="21">
        <v>97.009087999999991</v>
      </c>
      <c r="L8" s="16">
        <v>30000</v>
      </c>
      <c r="M8" s="16"/>
      <c r="N8" s="14">
        <v>3.3</v>
      </c>
      <c r="O8" s="14">
        <v>3.3</v>
      </c>
      <c r="P8" s="14">
        <f>(I8/$L$8)*1000</f>
        <v>3.1074761449885098</v>
      </c>
      <c r="Q8" s="14">
        <f>(J8/$L$8)*1000</f>
        <v>3.2336362666666663</v>
      </c>
      <c r="T8" t="s">
        <v>37</v>
      </c>
      <c r="U8" t="s">
        <v>36</v>
      </c>
      <c r="V8" t="s">
        <v>35</v>
      </c>
      <c r="W8" t="s">
        <v>34</v>
      </c>
    </row>
    <row r="9" spans="1:23" x14ac:dyDescent="0.25">
      <c r="A9" s="8" t="s">
        <v>15</v>
      </c>
      <c r="B9" s="28">
        <v>322.15726646370774</v>
      </c>
      <c r="C9" s="28">
        <v>644.31453292741548</v>
      </c>
      <c r="D9" s="28">
        <v>860.53185553527965</v>
      </c>
      <c r="E9" s="28">
        <v>757.88350000000003</v>
      </c>
      <c r="F9" s="7" t="s">
        <v>15</v>
      </c>
      <c r="G9" s="48">
        <v>4.9000000000000004</v>
      </c>
      <c r="H9" s="15">
        <v>8.4444892913160619</v>
      </c>
      <c r="I9" s="15">
        <v>9.8684845818266016</v>
      </c>
      <c r="J9" s="21">
        <v>8.6913245412844038</v>
      </c>
      <c r="L9" s="36"/>
      <c r="M9" s="36"/>
      <c r="N9" s="14"/>
      <c r="O9" s="14"/>
      <c r="P9" s="14"/>
      <c r="Q9" s="14"/>
      <c r="T9">
        <v>2010</v>
      </c>
      <c r="U9" t="s">
        <v>33</v>
      </c>
      <c r="V9" s="47">
        <v>41309</v>
      </c>
      <c r="W9" t="s">
        <v>32</v>
      </c>
    </row>
    <row r="10" spans="1:23" x14ac:dyDescent="0.25">
      <c r="A10" s="8" t="s">
        <v>14</v>
      </c>
      <c r="B10" s="28">
        <v>125.27</v>
      </c>
      <c r="C10" s="28">
        <v>159.35775102505178</v>
      </c>
      <c r="D10" s="28">
        <v>143.42197592254661</v>
      </c>
      <c r="E10" s="28">
        <v>151.57670000000002</v>
      </c>
      <c r="F10" s="7" t="s">
        <v>14</v>
      </c>
      <c r="G10" s="48">
        <v>2.8</v>
      </c>
      <c r="H10" s="15">
        <v>3.5023681543967426</v>
      </c>
      <c r="I10" s="15">
        <v>3.1521313389570684</v>
      </c>
      <c r="J10" s="21">
        <v>3.3313560439560441</v>
      </c>
      <c r="L10" s="36"/>
      <c r="M10" s="36"/>
      <c r="N10" s="14"/>
      <c r="O10" s="14"/>
      <c r="P10" s="14"/>
      <c r="Q10" s="14"/>
      <c r="T10">
        <v>2011</v>
      </c>
      <c r="U10" t="s">
        <v>31</v>
      </c>
      <c r="V10" s="47">
        <v>41309</v>
      </c>
      <c r="W10" t="s">
        <v>30</v>
      </c>
    </row>
    <row r="11" spans="1:23" x14ac:dyDescent="0.25">
      <c r="A11" s="24" t="s">
        <v>13</v>
      </c>
      <c r="B11" s="41">
        <v>0</v>
      </c>
      <c r="C11" s="41">
        <v>0</v>
      </c>
      <c r="D11" s="41">
        <v>28.684395184509324</v>
      </c>
      <c r="E11" s="41">
        <v>15.6</v>
      </c>
      <c r="F11" s="40" t="s">
        <v>13</v>
      </c>
      <c r="G11" s="49">
        <v>0</v>
      </c>
      <c r="H11" s="39">
        <v>0</v>
      </c>
      <c r="I11" s="39">
        <v>28.684395184509324</v>
      </c>
      <c r="J11" s="38">
        <v>15.6</v>
      </c>
      <c r="L11" s="36"/>
      <c r="M11" s="36"/>
      <c r="N11" s="14"/>
      <c r="O11" s="14"/>
      <c r="P11" s="14"/>
      <c r="Q11" s="14"/>
      <c r="T11">
        <v>2012</v>
      </c>
      <c r="U11" t="s">
        <v>29</v>
      </c>
      <c r="V11" s="47">
        <v>41337</v>
      </c>
      <c r="W11" t="s">
        <v>28</v>
      </c>
    </row>
    <row r="12" spans="1:23" x14ac:dyDescent="0.25">
      <c r="A12" s="19" t="s">
        <v>4</v>
      </c>
      <c r="B12" s="28"/>
      <c r="C12" s="28"/>
      <c r="D12" s="28"/>
      <c r="E12" s="28"/>
      <c r="F12" s="7"/>
      <c r="G12" s="48"/>
      <c r="H12" s="15"/>
      <c r="I12" s="15"/>
      <c r="J12" s="21"/>
      <c r="L12" s="36"/>
      <c r="M12" s="36"/>
      <c r="N12" s="14"/>
      <c r="O12" s="14"/>
      <c r="P12" s="14"/>
      <c r="Q12" s="14"/>
      <c r="V12" s="47"/>
    </row>
    <row r="13" spans="1:23" x14ac:dyDescent="0.25">
      <c r="A13" s="8" t="s">
        <v>17</v>
      </c>
      <c r="B13" s="28"/>
      <c r="C13" s="28"/>
      <c r="D13" s="28"/>
      <c r="E13" s="28"/>
      <c r="F13" s="7"/>
      <c r="G13" s="48">
        <v>100</v>
      </c>
      <c r="H13" s="6">
        <f t="shared" ref="H13:J15" si="0">H7/$G7</f>
        <v>1.3049036719336835</v>
      </c>
      <c r="I13" s="6">
        <f t="shared" si="0"/>
        <v>1.1160054806894968</v>
      </c>
      <c r="J13" s="5">
        <f t="shared" si="0"/>
        <v>1.1693540819965165</v>
      </c>
      <c r="L13" s="36"/>
      <c r="M13" s="36"/>
      <c r="N13" s="14"/>
      <c r="O13" s="14"/>
      <c r="P13" s="14"/>
      <c r="Q13" s="14"/>
      <c r="V13" s="47"/>
    </row>
    <row r="14" spans="1:23" x14ac:dyDescent="0.25">
      <c r="A14" s="8" t="s">
        <v>16</v>
      </c>
      <c r="B14" s="28"/>
      <c r="C14" s="28"/>
      <c r="D14" s="28"/>
      <c r="E14" s="28"/>
      <c r="F14" s="7"/>
      <c r="G14" s="48"/>
      <c r="H14" s="6">
        <f t="shared" si="0"/>
        <v>1.0002080752569968</v>
      </c>
      <c r="I14" s="6">
        <f t="shared" si="0"/>
        <v>0.90158882349763336</v>
      </c>
      <c r="J14" s="5">
        <f t="shared" si="0"/>
        <v>0.93819234042553179</v>
      </c>
      <c r="L14" s="36"/>
      <c r="M14" s="36"/>
      <c r="N14" s="14"/>
      <c r="O14" s="14"/>
      <c r="P14" s="14"/>
      <c r="Q14" s="14"/>
      <c r="V14" s="47"/>
    </row>
    <row r="15" spans="1:23" x14ac:dyDescent="0.25">
      <c r="A15" s="8" t="s">
        <v>15</v>
      </c>
      <c r="B15" s="28"/>
      <c r="C15" s="28"/>
      <c r="D15" s="28"/>
      <c r="E15" s="28"/>
      <c r="F15" s="7"/>
      <c r="G15" s="48"/>
      <c r="H15" s="6">
        <f t="shared" si="0"/>
        <v>1.7233651614930736</v>
      </c>
      <c r="I15" s="6">
        <f t="shared" si="0"/>
        <v>2.0139764452707349</v>
      </c>
      <c r="J15" s="5">
        <f t="shared" si="0"/>
        <v>1.7737397023029393</v>
      </c>
      <c r="L15" s="36"/>
      <c r="M15" s="36"/>
      <c r="N15" s="14"/>
      <c r="O15" s="14"/>
      <c r="P15" s="14"/>
      <c r="Q15" s="14"/>
      <c r="V15" s="47"/>
    </row>
    <row r="16" spans="1:23" x14ac:dyDescent="0.25">
      <c r="A16" s="8" t="s">
        <v>14</v>
      </c>
      <c r="B16" s="7"/>
      <c r="C16" s="6"/>
      <c r="D16" s="6"/>
      <c r="E16" s="6"/>
      <c r="F16" s="7"/>
      <c r="G16" s="8"/>
      <c r="H16" s="6"/>
      <c r="I16" s="6"/>
      <c r="J16" s="5"/>
      <c r="L16" s="36"/>
      <c r="M16" s="36"/>
      <c r="N16" s="14"/>
      <c r="O16" s="14"/>
      <c r="P16" s="14"/>
      <c r="Q16" s="14"/>
      <c r="T16" t="s">
        <v>27</v>
      </c>
    </row>
    <row r="17" spans="1:17" ht="13.8" thickBot="1" x14ac:dyDescent="0.3">
      <c r="A17" s="4" t="s">
        <v>13</v>
      </c>
      <c r="B17" s="3"/>
      <c r="C17" s="3"/>
      <c r="D17" s="3"/>
      <c r="E17" s="3"/>
      <c r="F17" s="3"/>
      <c r="G17" s="4"/>
      <c r="H17" s="3"/>
      <c r="I17" s="3"/>
      <c r="J17" s="2"/>
      <c r="L17" s="36"/>
      <c r="M17" s="36"/>
      <c r="N17" s="14"/>
      <c r="O17" s="14"/>
      <c r="P17" s="14"/>
      <c r="Q17" s="14"/>
    </row>
    <row r="18" spans="1:17" s="25" customFormat="1" x14ac:dyDescent="0.25">
      <c r="A18" s="12"/>
      <c r="B18" s="44" t="s">
        <v>12</v>
      </c>
      <c r="C18" s="44"/>
      <c r="D18" s="44"/>
      <c r="E18" s="44"/>
      <c r="F18" s="44"/>
      <c r="G18" s="44" t="s">
        <v>11</v>
      </c>
      <c r="H18" s="44"/>
      <c r="I18" s="44"/>
      <c r="J18" s="26"/>
      <c r="L18" s="46"/>
      <c r="M18" s="46"/>
      <c r="N18" s="18"/>
      <c r="O18" s="18"/>
      <c r="P18" s="18"/>
      <c r="Q18" s="18"/>
    </row>
    <row r="19" spans="1:17" x14ac:dyDescent="0.25">
      <c r="A19" s="8" t="s">
        <v>6</v>
      </c>
      <c r="B19" s="7" t="s">
        <v>10</v>
      </c>
      <c r="C19" s="7" t="s">
        <v>26</v>
      </c>
      <c r="D19" s="7" t="s">
        <v>25</v>
      </c>
      <c r="E19" s="7" t="s">
        <v>24</v>
      </c>
      <c r="F19" s="7" t="s">
        <v>6</v>
      </c>
      <c r="G19" s="7" t="s">
        <v>10</v>
      </c>
      <c r="H19" s="7" t="s">
        <v>26</v>
      </c>
      <c r="I19" s="7" t="s">
        <v>25</v>
      </c>
      <c r="J19" s="34" t="s">
        <v>24</v>
      </c>
      <c r="L19" s="36"/>
      <c r="M19" s="36"/>
      <c r="N19" s="14"/>
      <c r="O19" s="14"/>
      <c r="P19" s="14"/>
      <c r="Q19" s="14"/>
    </row>
    <row r="20" spans="1:17" x14ac:dyDescent="0.25">
      <c r="A20" s="8" t="s">
        <v>5</v>
      </c>
      <c r="B20" s="33">
        <v>11638</v>
      </c>
      <c r="C20" s="33">
        <v>13829.156321372038</v>
      </c>
      <c r="D20" s="33">
        <v>13594.45625106733</v>
      </c>
      <c r="E20" s="33">
        <v>13594.45625106733</v>
      </c>
      <c r="F20" s="7" t="s">
        <v>5</v>
      </c>
      <c r="G20" s="33">
        <v>1106.6246698872785</v>
      </c>
      <c r="H20" s="32">
        <v>1582.9640654160271</v>
      </c>
      <c r="I20" s="32">
        <v>1192.0827637047041</v>
      </c>
      <c r="J20" s="31">
        <v>1410.3471221678951</v>
      </c>
      <c r="L20" s="36"/>
      <c r="M20" s="36"/>
      <c r="N20" s="14"/>
      <c r="O20" s="14"/>
      <c r="P20" s="14"/>
      <c r="Q20" s="14"/>
    </row>
    <row r="21" spans="1:17" x14ac:dyDescent="0.25">
      <c r="A21" s="8" t="s">
        <v>3</v>
      </c>
      <c r="B21" s="28">
        <v>5000</v>
      </c>
      <c r="C21" s="28">
        <v>7191.1612871134603</v>
      </c>
      <c r="D21" s="28">
        <v>5845.6161879589527</v>
      </c>
      <c r="E21" s="28">
        <v>6389.3944380016446</v>
      </c>
      <c r="F21" s="7" t="s">
        <v>3</v>
      </c>
      <c r="G21" s="15">
        <v>1086.9565217391303</v>
      </c>
      <c r="H21" s="15">
        <v>1563.2959319811869</v>
      </c>
      <c r="I21" s="15">
        <v>1169.1232375917905</v>
      </c>
      <c r="J21" s="21">
        <v>1388.9987908699227</v>
      </c>
      <c r="L21" s="16">
        <v>30000</v>
      </c>
      <c r="M21" s="16"/>
      <c r="N21" s="14">
        <f>(G21/$L21)*1000</f>
        <v>36.231884057971008</v>
      </c>
      <c r="O21" s="14">
        <f>(H21/$L21)*1000</f>
        <v>52.109864399372896</v>
      </c>
      <c r="P21" s="14">
        <f>(I21/$L21)*1000</f>
        <v>38.97077458639302</v>
      </c>
      <c r="Q21" s="14">
        <f>(J21/$L21)*1000</f>
        <v>46.299959695664093</v>
      </c>
    </row>
    <row r="22" spans="1:17" x14ac:dyDescent="0.25">
      <c r="A22" s="8" t="s">
        <v>2</v>
      </c>
      <c r="B22" s="28">
        <v>6638</v>
      </c>
      <c r="C22" s="28">
        <v>6637.995034258578</v>
      </c>
      <c r="D22" s="28">
        <v>7748.8400631083769</v>
      </c>
      <c r="E22" s="28">
        <v>7205.0618130656849</v>
      </c>
      <c r="F22" s="7" t="s">
        <v>2</v>
      </c>
      <c r="G22" s="15">
        <v>19.668148148148148</v>
      </c>
      <c r="H22" s="15">
        <v>19.668133434840232</v>
      </c>
      <c r="I22" s="15">
        <v>22.959526112913711</v>
      </c>
      <c r="J22" s="21">
        <v>21.3483312979724</v>
      </c>
      <c r="L22" s="36"/>
      <c r="M22" s="36"/>
      <c r="N22" s="14"/>
      <c r="O22" s="14"/>
      <c r="P22" s="14"/>
      <c r="Q22" s="14"/>
    </row>
    <row r="23" spans="1:17" x14ac:dyDescent="0.25">
      <c r="A23" s="8" t="s">
        <v>1</v>
      </c>
      <c r="B23" s="28">
        <v>0</v>
      </c>
      <c r="C23" s="28">
        <v>0</v>
      </c>
      <c r="D23" s="28">
        <v>0</v>
      </c>
      <c r="E23" s="28">
        <v>0</v>
      </c>
      <c r="F23" s="7" t="s">
        <v>1</v>
      </c>
      <c r="G23" s="15">
        <v>0</v>
      </c>
      <c r="H23" s="15">
        <v>0</v>
      </c>
      <c r="I23" s="15">
        <v>0</v>
      </c>
      <c r="J23" s="21">
        <v>0</v>
      </c>
      <c r="L23" s="36"/>
      <c r="M23" s="36"/>
      <c r="N23" s="14"/>
      <c r="O23" s="14"/>
      <c r="P23" s="14"/>
      <c r="Q23" s="14"/>
    </row>
    <row r="24" spans="1:17" x14ac:dyDescent="0.25">
      <c r="A24" s="8" t="s">
        <v>0</v>
      </c>
      <c r="B24" s="28">
        <v>0</v>
      </c>
      <c r="C24" s="28">
        <v>0</v>
      </c>
      <c r="D24" s="28">
        <v>0</v>
      </c>
      <c r="E24" s="28">
        <v>0</v>
      </c>
      <c r="F24" s="7" t="s">
        <v>0</v>
      </c>
      <c r="G24" s="15">
        <v>0</v>
      </c>
      <c r="H24" s="15">
        <v>0</v>
      </c>
      <c r="I24" s="15">
        <v>0</v>
      </c>
      <c r="J24" s="21">
        <v>0</v>
      </c>
      <c r="L24" s="36"/>
      <c r="M24" s="36"/>
      <c r="N24" s="14"/>
      <c r="O24" s="14"/>
      <c r="P24" s="14"/>
      <c r="Q24" s="14"/>
    </row>
    <row r="25" spans="1:17" x14ac:dyDescent="0.25">
      <c r="A25" s="19" t="s">
        <v>4</v>
      </c>
      <c r="B25" s="28"/>
      <c r="C25" s="28"/>
      <c r="D25" s="28"/>
      <c r="E25" s="28"/>
      <c r="F25" s="7"/>
      <c r="G25" s="15"/>
      <c r="H25" s="15"/>
      <c r="I25" s="15"/>
      <c r="J25" s="21"/>
      <c r="L25" s="36"/>
      <c r="M25" s="36"/>
      <c r="N25" s="14"/>
      <c r="O25" s="14"/>
      <c r="P25" s="14"/>
      <c r="Q25" s="14"/>
    </row>
    <row r="26" spans="1:17" x14ac:dyDescent="0.25">
      <c r="A26" s="8" t="s">
        <v>3</v>
      </c>
      <c r="B26" s="28"/>
      <c r="C26" s="28"/>
      <c r="D26" s="28"/>
      <c r="E26" s="28"/>
      <c r="F26" s="7"/>
      <c r="G26" s="15"/>
      <c r="H26" s="6">
        <f t="shared" ref="H26:J27" si="1">H21/$G21</f>
        <v>1.4382322574226922</v>
      </c>
      <c r="I26" s="6">
        <f t="shared" si="1"/>
        <v>1.0755933785844474</v>
      </c>
      <c r="J26" s="5">
        <f t="shared" si="1"/>
        <v>1.2778788876003291</v>
      </c>
      <c r="L26" s="36"/>
      <c r="M26" s="36"/>
      <c r="N26" s="14"/>
      <c r="O26" s="14"/>
      <c r="P26" s="14"/>
      <c r="Q26" s="14"/>
    </row>
    <row r="27" spans="1:17" x14ac:dyDescent="0.25">
      <c r="A27" s="8" t="s">
        <v>2</v>
      </c>
      <c r="B27" s="28"/>
      <c r="C27" s="28"/>
      <c r="D27" s="28"/>
      <c r="E27" s="28"/>
      <c r="F27" s="7"/>
      <c r="G27" s="15"/>
      <c r="H27" s="6">
        <f t="shared" si="1"/>
        <v>0.99999925192205152</v>
      </c>
      <c r="I27" s="6">
        <f t="shared" si="1"/>
        <v>1.1673455955270229</v>
      </c>
      <c r="J27" s="5">
        <f t="shared" si="1"/>
        <v>1.0854266063672318</v>
      </c>
      <c r="L27" s="36"/>
      <c r="M27" s="36"/>
      <c r="N27" s="14"/>
      <c r="O27" s="14"/>
      <c r="P27" s="14"/>
      <c r="Q27" s="14"/>
    </row>
    <row r="28" spans="1:17" x14ac:dyDescent="0.25">
      <c r="A28" s="8" t="s">
        <v>1</v>
      </c>
      <c r="B28" s="28"/>
      <c r="C28" s="28"/>
      <c r="D28" s="28"/>
      <c r="E28" s="28"/>
      <c r="F28" s="7"/>
      <c r="G28" s="15"/>
      <c r="H28" s="15"/>
      <c r="I28" s="15"/>
      <c r="J28" s="21"/>
      <c r="L28" s="36"/>
      <c r="M28" s="36"/>
      <c r="N28" s="14"/>
      <c r="O28" s="14"/>
      <c r="P28" s="14"/>
      <c r="Q28" s="14"/>
    </row>
    <row r="29" spans="1:17" ht="13.8" thickBot="1" x14ac:dyDescent="0.3">
      <c r="A29" s="4" t="s">
        <v>0</v>
      </c>
      <c r="B29" s="27"/>
      <c r="C29" s="27"/>
      <c r="D29" s="27"/>
      <c r="E29" s="27"/>
      <c r="F29" s="3"/>
      <c r="G29" s="13"/>
      <c r="H29" s="13"/>
      <c r="I29" s="13"/>
      <c r="J29" s="20"/>
      <c r="L29" s="36"/>
      <c r="M29" s="36"/>
      <c r="N29" s="14"/>
      <c r="O29" s="14"/>
      <c r="P29" s="14"/>
      <c r="Q29" s="14"/>
    </row>
    <row r="30" spans="1:17" ht="13.8" thickBot="1" x14ac:dyDescent="0.3">
      <c r="L30" s="36"/>
      <c r="M30" s="36"/>
      <c r="N30" s="14"/>
      <c r="O30" s="14"/>
      <c r="P30" s="14"/>
      <c r="Q30" s="14"/>
    </row>
    <row r="31" spans="1:17" x14ac:dyDescent="0.25">
      <c r="A31" s="45"/>
      <c r="B31" s="44" t="s">
        <v>20</v>
      </c>
      <c r="C31" s="44"/>
      <c r="D31" s="44"/>
      <c r="E31" s="44"/>
      <c r="F31" s="44"/>
      <c r="G31" s="44" t="s">
        <v>11</v>
      </c>
      <c r="H31" s="44"/>
      <c r="I31" s="44"/>
      <c r="J31" s="26"/>
      <c r="K31" s="44"/>
      <c r="L31" s="43"/>
      <c r="M31" s="43"/>
      <c r="N31" s="23"/>
      <c r="O31" s="23"/>
      <c r="P31" s="23"/>
      <c r="Q31" s="22"/>
    </row>
    <row r="32" spans="1:17" x14ac:dyDescent="0.25">
      <c r="A32" s="8"/>
      <c r="B32" s="35" t="s">
        <v>10</v>
      </c>
      <c r="C32" s="35" t="s">
        <v>23</v>
      </c>
      <c r="D32" s="35" t="s">
        <v>22</v>
      </c>
      <c r="E32" s="35" t="s">
        <v>21</v>
      </c>
      <c r="F32" s="35"/>
      <c r="G32" s="35" t="s">
        <v>10</v>
      </c>
      <c r="H32" s="35" t="s">
        <v>23</v>
      </c>
      <c r="I32" s="35" t="s">
        <v>22</v>
      </c>
      <c r="J32" s="42" t="s">
        <v>21</v>
      </c>
      <c r="K32" s="35"/>
      <c r="L32" s="30"/>
      <c r="M32" s="30"/>
      <c r="N32" s="35" t="s">
        <v>10</v>
      </c>
      <c r="O32" s="35" t="s">
        <v>23</v>
      </c>
      <c r="P32" s="35" t="s">
        <v>22</v>
      </c>
      <c r="Q32" s="35" t="s">
        <v>21</v>
      </c>
    </row>
    <row r="33" spans="1:17" x14ac:dyDescent="0.25">
      <c r="A33" s="8"/>
      <c r="B33" s="7"/>
      <c r="C33" s="7"/>
      <c r="D33" s="7"/>
      <c r="E33" s="7"/>
      <c r="F33" s="7"/>
      <c r="G33" s="7"/>
      <c r="H33" s="7"/>
      <c r="I33" s="7"/>
      <c r="J33" s="34"/>
      <c r="K33" s="7"/>
      <c r="L33" s="30"/>
      <c r="M33" s="30"/>
      <c r="N33" s="15"/>
      <c r="O33" s="15"/>
      <c r="P33" s="15"/>
      <c r="Q33" s="21"/>
    </row>
    <row r="34" spans="1:17" x14ac:dyDescent="0.25">
      <c r="A34" s="8"/>
      <c r="B34" s="33">
        <v>12527</v>
      </c>
      <c r="C34" s="33">
        <v>17876.837147186307</v>
      </c>
      <c r="D34" s="33">
        <v>15195.311575108361</v>
      </c>
      <c r="E34" s="33">
        <v>16982.995289826995</v>
      </c>
      <c r="F34" s="7"/>
      <c r="G34" s="33">
        <v>5931.5323015004442</v>
      </c>
      <c r="H34" s="32">
        <v>9275.0285563463021</v>
      </c>
      <c r="I34" s="32">
        <v>6735.0527565018092</v>
      </c>
      <c r="J34" s="31">
        <v>8313.6128725644885</v>
      </c>
      <c r="K34" s="7"/>
      <c r="L34" s="30"/>
      <c r="M34" s="30"/>
      <c r="N34" s="15"/>
      <c r="O34" s="15"/>
      <c r="P34" s="15"/>
      <c r="Q34" s="21"/>
    </row>
    <row r="35" spans="1:17" x14ac:dyDescent="0.25">
      <c r="A35" s="8" t="s">
        <v>17</v>
      </c>
      <c r="B35" s="28">
        <v>10011.142433904823</v>
      </c>
      <c r="C35" s="28">
        <v>14998.666366489313</v>
      </c>
      <c r="D35" s="28">
        <v>11396.483681331272</v>
      </c>
      <c r="E35" s="28">
        <v>14070.411597621665</v>
      </c>
      <c r="F35" s="7" t="s">
        <v>17</v>
      </c>
      <c r="G35" s="15">
        <v>5820.4316476190834</v>
      </c>
      <c r="H35" s="15">
        <v>9145.5282722495813</v>
      </c>
      <c r="I35" s="15">
        <v>6475.2748189382228</v>
      </c>
      <c r="J35" s="21">
        <v>8180.4718590823641</v>
      </c>
      <c r="K35" s="7"/>
      <c r="L35" s="29">
        <v>13500</v>
      </c>
      <c r="M35" s="29"/>
      <c r="N35" s="15">
        <f>N7</f>
        <v>469.56923076923073</v>
      </c>
      <c r="O35" s="15">
        <f t="shared" ref="O35:Q36" si="2">(H35/$L35)*1000</f>
        <v>677.44653868515411</v>
      </c>
      <c r="P35" s="15">
        <f t="shared" si="2"/>
        <v>479.64998658801647</v>
      </c>
      <c r="Q35" s="15">
        <f t="shared" si="2"/>
        <v>605.96087845054547</v>
      </c>
    </row>
    <row r="36" spans="1:17" x14ac:dyDescent="0.25">
      <c r="A36" s="8" t="s">
        <v>16</v>
      </c>
      <c r="B36" s="28">
        <v>2068.4302996314696</v>
      </c>
      <c r="C36" s="28">
        <v>1966.4520861904941</v>
      </c>
      <c r="D36" s="28">
        <v>1671.48427326192</v>
      </c>
      <c r="E36" s="28">
        <v>1868.1294818809695</v>
      </c>
      <c r="F36" s="7" t="s">
        <v>16</v>
      </c>
      <c r="G36" s="15">
        <v>103.42151498157348</v>
      </c>
      <c r="H36" s="15">
        <v>98.322604309524706</v>
      </c>
      <c r="I36" s="15">
        <v>83.574213663096003</v>
      </c>
      <c r="J36" s="21">
        <v>93.406474094048477</v>
      </c>
      <c r="K36" s="7"/>
      <c r="L36" s="29">
        <v>30000</v>
      </c>
      <c r="M36" s="29"/>
      <c r="N36" s="15"/>
      <c r="O36" s="15">
        <f t="shared" si="2"/>
        <v>3.2774201436508235</v>
      </c>
      <c r="P36" s="15">
        <f t="shared" si="2"/>
        <v>2.7858071221031997</v>
      </c>
      <c r="Q36" s="15">
        <f t="shared" si="2"/>
        <v>3.1135491364682828</v>
      </c>
    </row>
    <row r="37" spans="1:17" x14ac:dyDescent="0.25">
      <c r="A37" s="8" t="s">
        <v>15</v>
      </c>
      <c r="B37" s="28">
        <v>322.15726646370774</v>
      </c>
      <c r="C37" s="28">
        <v>715.07348588745242</v>
      </c>
      <c r="D37" s="28">
        <v>1823.4373890130034</v>
      </c>
      <c r="E37" s="28">
        <v>849.14976449134974</v>
      </c>
      <c r="F37" s="7" t="s">
        <v>15</v>
      </c>
      <c r="G37" s="15">
        <v>4.9259520866010362</v>
      </c>
      <c r="H37" s="15">
        <v>9.3718674428237545</v>
      </c>
      <c r="I37" s="15">
        <v>20.910979231800496</v>
      </c>
      <c r="J37" s="21">
        <v>10.527520016009792</v>
      </c>
      <c r="K37" s="7"/>
      <c r="L37" s="30"/>
      <c r="M37" s="30"/>
      <c r="N37" s="15"/>
      <c r="O37" s="15"/>
      <c r="P37" s="15"/>
      <c r="Q37" s="21"/>
    </row>
    <row r="38" spans="1:17" x14ac:dyDescent="0.25">
      <c r="A38" s="8" t="s">
        <v>14</v>
      </c>
      <c r="B38" s="28">
        <v>125.27</v>
      </c>
      <c r="C38" s="28">
        <v>178.76837147186311</v>
      </c>
      <c r="D38" s="28">
        <v>151.95311575108363</v>
      </c>
      <c r="E38" s="28">
        <v>169.82995289826997</v>
      </c>
      <c r="F38" s="7" t="s">
        <v>14</v>
      </c>
      <c r="G38" s="15">
        <v>2.7531868131868129</v>
      </c>
      <c r="H38" s="15">
        <v>3.9289751971838047</v>
      </c>
      <c r="I38" s="15">
        <v>3.3396289176062335</v>
      </c>
      <c r="J38" s="21">
        <v>3.7325264373246148</v>
      </c>
      <c r="K38" s="7"/>
      <c r="L38" s="30"/>
      <c r="M38" s="30"/>
      <c r="N38" s="15"/>
      <c r="O38" s="15"/>
      <c r="P38" s="15"/>
      <c r="Q38" s="21"/>
    </row>
    <row r="39" spans="1:17" ht="13.8" thickBot="1" x14ac:dyDescent="0.3">
      <c r="A39" s="24" t="s">
        <v>13</v>
      </c>
      <c r="B39" s="41">
        <v>0</v>
      </c>
      <c r="C39" s="41">
        <v>0</v>
      </c>
      <c r="D39" s="41">
        <v>151.95311575108363</v>
      </c>
      <c r="E39" s="41">
        <v>51</v>
      </c>
      <c r="F39" s="40" t="s">
        <v>13</v>
      </c>
      <c r="G39" s="39">
        <v>0</v>
      </c>
      <c r="H39" s="39">
        <v>17.876837147186311</v>
      </c>
      <c r="I39" s="39">
        <v>151.95311575108363</v>
      </c>
      <c r="J39" s="38">
        <v>51</v>
      </c>
      <c r="K39" s="7"/>
      <c r="L39" s="30"/>
      <c r="M39" s="30"/>
      <c r="N39" s="15"/>
      <c r="O39" s="15"/>
      <c r="P39" s="15"/>
      <c r="Q39" s="21"/>
    </row>
    <row r="40" spans="1:17" x14ac:dyDescent="0.25">
      <c r="A40" s="12" t="s">
        <v>4</v>
      </c>
      <c r="B40" s="37"/>
      <c r="C40" s="37"/>
      <c r="D40" s="37"/>
      <c r="E40" s="37"/>
      <c r="F40" s="10"/>
      <c r="G40" s="23"/>
      <c r="H40" s="23"/>
      <c r="I40" s="23"/>
      <c r="J40" s="22"/>
      <c r="L40" s="36"/>
      <c r="M40" s="36"/>
      <c r="N40" s="14"/>
      <c r="O40" s="14"/>
      <c r="P40" s="14"/>
      <c r="Q40" s="14"/>
    </row>
    <row r="41" spans="1:17" x14ac:dyDescent="0.25">
      <c r="A41" s="8" t="s">
        <v>17</v>
      </c>
      <c r="B41" s="28"/>
      <c r="C41" s="28"/>
      <c r="D41" s="28"/>
      <c r="E41" s="28"/>
      <c r="F41" s="7"/>
      <c r="G41" s="15"/>
      <c r="H41" s="6">
        <f t="shared" ref="H41:J43" si="3">H35/$G35</f>
        <v>1.5712800743894428</v>
      </c>
      <c r="I41" s="6">
        <f t="shared" si="3"/>
        <v>1.1125076645452938</v>
      </c>
      <c r="J41" s="5">
        <f t="shared" si="3"/>
        <v>1.4054751184010008</v>
      </c>
      <c r="L41" s="36"/>
      <c r="M41" s="36"/>
      <c r="N41" s="14"/>
      <c r="O41" s="14"/>
      <c r="P41" s="14"/>
      <c r="Q41" s="14"/>
    </row>
    <row r="42" spans="1:17" x14ac:dyDescent="0.25">
      <c r="A42" s="8" t="s">
        <v>16</v>
      </c>
      <c r="B42" s="28"/>
      <c r="C42" s="28"/>
      <c r="D42" s="28"/>
      <c r="E42" s="28"/>
      <c r="F42" s="7"/>
      <c r="G42" s="15"/>
      <c r="H42" s="6">
        <f t="shared" si="3"/>
        <v>0.95069777625132212</v>
      </c>
      <c r="I42" s="6">
        <f t="shared" si="3"/>
        <v>0.80809310981362381</v>
      </c>
      <c r="J42" s="5">
        <f t="shared" si="3"/>
        <v>0.90316288743875606</v>
      </c>
      <c r="L42" s="36"/>
      <c r="M42" s="36"/>
      <c r="N42" s="14"/>
      <c r="O42" s="14"/>
      <c r="P42" s="14"/>
      <c r="Q42" s="14"/>
    </row>
    <row r="43" spans="1:17" x14ac:dyDescent="0.25">
      <c r="A43" s="8" t="s">
        <v>15</v>
      </c>
      <c r="B43" s="28"/>
      <c r="C43" s="28"/>
      <c r="D43" s="28"/>
      <c r="E43" s="28"/>
      <c r="F43" s="7"/>
      <c r="G43" s="15"/>
      <c r="H43" s="6">
        <f t="shared" si="3"/>
        <v>1.9025494519761865</v>
      </c>
      <c r="I43" s="6">
        <f t="shared" si="3"/>
        <v>4.2450634647218655</v>
      </c>
      <c r="J43" s="5">
        <f t="shared" si="3"/>
        <v>2.1371543675070339</v>
      </c>
      <c r="L43" s="36"/>
      <c r="M43" s="36"/>
      <c r="N43" s="14"/>
      <c r="O43" s="14"/>
      <c r="P43" s="14"/>
      <c r="Q43" s="14"/>
    </row>
    <row r="44" spans="1:17" x14ac:dyDescent="0.25">
      <c r="A44" s="8" t="s">
        <v>14</v>
      </c>
      <c r="B44" s="28"/>
      <c r="C44" s="28"/>
      <c r="D44" s="28"/>
      <c r="E44" s="28"/>
      <c r="F44" s="7"/>
      <c r="G44" s="15"/>
      <c r="H44" s="15"/>
      <c r="I44" s="15"/>
      <c r="J44" s="21"/>
      <c r="L44" s="36"/>
      <c r="M44" s="36"/>
      <c r="N44" s="14"/>
      <c r="O44" s="14"/>
      <c r="P44" s="14"/>
      <c r="Q44" s="14"/>
    </row>
    <row r="45" spans="1:17" ht="13.8" thickBot="1" x14ac:dyDescent="0.3">
      <c r="A45" s="4" t="s">
        <v>13</v>
      </c>
      <c r="B45" s="27"/>
      <c r="C45" s="27"/>
      <c r="D45" s="27"/>
      <c r="E45" s="27"/>
      <c r="F45" s="3"/>
      <c r="G45" s="13"/>
      <c r="H45" s="13"/>
      <c r="I45" s="13"/>
      <c r="J45" s="20"/>
      <c r="L45" s="36"/>
      <c r="M45" s="36"/>
      <c r="N45" s="14"/>
      <c r="O45" s="14"/>
      <c r="P45" s="14"/>
      <c r="Q45" s="14"/>
    </row>
    <row r="46" spans="1:17" x14ac:dyDescent="0.25">
      <c r="A46" s="8"/>
      <c r="B46" s="7"/>
      <c r="C46" s="6"/>
      <c r="D46" s="6"/>
      <c r="E46" s="6"/>
      <c r="F46" s="7"/>
      <c r="G46" s="7"/>
      <c r="H46" s="6"/>
      <c r="I46" s="6"/>
      <c r="J46" s="5"/>
      <c r="K46" s="7"/>
      <c r="L46" s="30"/>
      <c r="M46" s="30"/>
      <c r="N46" s="15"/>
      <c r="O46" s="15"/>
      <c r="P46" s="15"/>
      <c r="Q46" s="21"/>
    </row>
    <row r="47" spans="1:17" x14ac:dyDescent="0.25">
      <c r="A47" s="8"/>
      <c r="B47" s="7" t="s">
        <v>12</v>
      </c>
      <c r="C47" s="7"/>
      <c r="D47" s="7"/>
      <c r="E47" s="7"/>
      <c r="F47" s="7"/>
      <c r="G47" s="35" t="s">
        <v>11</v>
      </c>
      <c r="H47" s="7"/>
      <c r="I47" s="7"/>
      <c r="J47" s="34"/>
      <c r="K47" s="7"/>
      <c r="L47" s="30"/>
      <c r="M47" s="30"/>
      <c r="N47" s="15"/>
      <c r="O47" s="15"/>
      <c r="P47" s="15"/>
      <c r="Q47" s="21"/>
    </row>
    <row r="48" spans="1:17" x14ac:dyDescent="0.25">
      <c r="A48" s="8" t="s">
        <v>6</v>
      </c>
      <c r="B48" s="7" t="s">
        <v>10</v>
      </c>
      <c r="C48" s="7" t="s">
        <v>23</v>
      </c>
      <c r="D48" s="7" t="s">
        <v>22</v>
      </c>
      <c r="E48" s="7" t="s">
        <v>21</v>
      </c>
      <c r="F48" s="7" t="s">
        <v>6</v>
      </c>
      <c r="G48" s="7" t="s">
        <v>10</v>
      </c>
      <c r="H48" s="7" t="s">
        <v>23</v>
      </c>
      <c r="I48" s="7" t="s">
        <v>22</v>
      </c>
      <c r="J48" s="34" t="s">
        <v>21</v>
      </c>
      <c r="K48" s="7"/>
      <c r="L48" s="30"/>
      <c r="M48" s="30"/>
      <c r="N48" s="15"/>
      <c r="O48" s="15"/>
      <c r="P48" s="15"/>
      <c r="Q48" s="21"/>
    </row>
    <row r="49" spans="1:17" x14ac:dyDescent="0.25">
      <c r="A49" s="8" t="s">
        <v>5</v>
      </c>
      <c r="B49" s="33">
        <v>11638</v>
      </c>
      <c r="C49" s="33">
        <v>15659.262738363717</v>
      </c>
      <c r="D49" s="33">
        <v>13913.725189465284</v>
      </c>
      <c r="E49" s="33">
        <v>14876.299601445531</v>
      </c>
      <c r="F49" s="7" t="s">
        <v>5</v>
      </c>
      <c r="G49" s="33">
        <v>1106.6246698872785</v>
      </c>
      <c r="H49" s="32">
        <v>1960.337965210437</v>
      </c>
      <c r="I49" s="32">
        <v>1137.8335266051608</v>
      </c>
      <c r="J49" s="31">
        <v>1597.6043823833877</v>
      </c>
      <c r="K49" s="7"/>
      <c r="L49" s="30"/>
      <c r="M49" s="30"/>
      <c r="N49" s="15"/>
      <c r="O49" s="15"/>
      <c r="P49" s="15"/>
      <c r="Q49" s="21"/>
    </row>
    <row r="50" spans="1:17" x14ac:dyDescent="0.25">
      <c r="A50" s="8" t="s">
        <v>3</v>
      </c>
      <c r="B50" s="28">
        <v>5000</v>
      </c>
      <c r="C50" s="28">
        <v>8925.7797608673191</v>
      </c>
      <c r="D50" s="28">
        <v>5565.4900757861133</v>
      </c>
      <c r="E50" s="28">
        <v>7884.4387887661323</v>
      </c>
      <c r="F50" s="7" t="s">
        <v>3</v>
      </c>
      <c r="G50" s="15">
        <v>1086.9565217391303</v>
      </c>
      <c r="H50" s="15">
        <v>1940.3869045363735</v>
      </c>
      <c r="I50" s="15">
        <v>1113.0980151572226</v>
      </c>
      <c r="J50" s="21">
        <v>1576.8877577532264</v>
      </c>
      <c r="K50" s="7"/>
      <c r="L50" s="29">
        <v>50000</v>
      </c>
      <c r="M50" s="29"/>
      <c r="N50" s="15">
        <f>(G50/$L50)*1000</f>
        <v>21.739130434782606</v>
      </c>
      <c r="O50" s="15">
        <f>(H50/$L50)*1000</f>
        <v>38.807738090727469</v>
      </c>
      <c r="P50" s="15">
        <f>(I50/$L50)*1000</f>
        <v>22.261960303144452</v>
      </c>
      <c r="Q50" s="21">
        <f>(J50/$L50)*1000</f>
        <v>31.537755155064531</v>
      </c>
    </row>
    <row r="51" spans="1:17" x14ac:dyDescent="0.25">
      <c r="A51" s="8" t="s">
        <v>2</v>
      </c>
      <c r="B51" s="28">
        <v>6638</v>
      </c>
      <c r="C51" s="28">
        <v>6733.4829774963982</v>
      </c>
      <c r="D51" s="28">
        <v>8348.2351136791694</v>
      </c>
      <c r="E51" s="28">
        <v>6991.8608126793988</v>
      </c>
      <c r="F51" s="7" t="s">
        <v>2</v>
      </c>
      <c r="G51" s="15">
        <v>19.668148148148148</v>
      </c>
      <c r="H51" s="15">
        <v>19.951060674063402</v>
      </c>
      <c r="I51" s="15">
        <v>24.735511447938279</v>
      </c>
      <c r="J51" s="21">
        <v>20.716624630161181</v>
      </c>
      <c r="K51" s="7"/>
      <c r="L51" s="7"/>
      <c r="M51" s="7"/>
      <c r="N51" s="15"/>
      <c r="O51" s="15"/>
      <c r="P51" s="15"/>
      <c r="Q51" s="21"/>
    </row>
    <row r="52" spans="1:17" x14ac:dyDescent="0.25">
      <c r="A52" s="8" t="s">
        <v>1</v>
      </c>
      <c r="B52" s="28">
        <v>0</v>
      </c>
      <c r="C52" s="28">
        <v>0</v>
      </c>
      <c r="D52" s="28">
        <v>0</v>
      </c>
      <c r="E52" s="28">
        <v>0</v>
      </c>
      <c r="F52" s="7" t="s">
        <v>1</v>
      </c>
      <c r="G52" s="15">
        <v>0</v>
      </c>
      <c r="H52" s="15">
        <v>0</v>
      </c>
      <c r="I52" s="15">
        <v>0</v>
      </c>
      <c r="J52" s="21">
        <v>0</v>
      </c>
      <c r="K52" s="7"/>
      <c r="L52" s="7"/>
      <c r="M52" s="7"/>
      <c r="N52" s="15"/>
      <c r="O52" s="15"/>
      <c r="P52" s="15"/>
      <c r="Q52" s="21"/>
    </row>
    <row r="53" spans="1:17" ht="13.8" thickBot="1" x14ac:dyDescent="0.3">
      <c r="A53" s="4" t="s">
        <v>0</v>
      </c>
      <c r="B53" s="27">
        <v>0</v>
      </c>
      <c r="C53" s="27">
        <v>0</v>
      </c>
      <c r="D53" s="27">
        <v>0</v>
      </c>
      <c r="E53" s="27">
        <v>0</v>
      </c>
      <c r="F53" s="3" t="s">
        <v>0</v>
      </c>
      <c r="G53" s="13">
        <v>0</v>
      </c>
      <c r="H53" s="13">
        <v>0</v>
      </c>
      <c r="I53" s="13">
        <v>0</v>
      </c>
      <c r="J53" s="20">
        <v>0</v>
      </c>
      <c r="K53" s="3"/>
      <c r="L53" s="3"/>
      <c r="M53" s="3"/>
      <c r="N53" s="13"/>
      <c r="O53" s="13"/>
      <c r="P53" s="13"/>
      <c r="Q53" s="20"/>
    </row>
    <row r="54" spans="1:17" x14ac:dyDescent="0.25">
      <c r="A54" s="12" t="s">
        <v>4</v>
      </c>
      <c r="B54" s="11"/>
      <c r="C54" s="11"/>
      <c r="D54" s="11"/>
      <c r="E54" s="10"/>
      <c r="F54" s="11"/>
      <c r="G54" s="11"/>
      <c r="H54" s="11"/>
      <c r="I54" s="10"/>
      <c r="J54" s="9"/>
    </row>
    <row r="55" spans="1:17" x14ac:dyDescent="0.25">
      <c r="A55" s="8" t="s">
        <v>3</v>
      </c>
      <c r="B55" s="7"/>
      <c r="C55" s="7"/>
      <c r="D55" s="7"/>
      <c r="E55" s="7"/>
      <c r="F55" s="7"/>
      <c r="G55" s="7"/>
      <c r="H55" s="6">
        <f t="shared" ref="H55:J56" si="4">H50/$G50</f>
        <v>1.7851559521734639</v>
      </c>
      <c r="I55" s="6">
        <f t="shared" si="4"/>
        <v>1.0240501739446448</v>
      </c>
      <c r="J55" s="5">
        <f t="shared" si="4"/>
        <v>1.4507367371329685</v>
      </c>
    </row>
    <row r="56" spans="1:17" x14ac:dyDescent="0.25">
      <c r="A56" s="8" t="s">
        <v>2</v>
      </c>
      <c r="B56" s="7"/>
      <c r="C56" s="7"/>
      <c r="D56" s="7"/>
      <c r="E56" s="7"/>
      <c r="F56" s="7"/>
      <c r="G56" s="7"/>
      <c r="H56" s="6">
        <f t="shared" si="4"/>
        <v>1.0143842991106355</v>
      </c>
      <c r="I56" s="6">
        <f t="shared" si="4"/>
        <v>1.2576431325217188</v>
      </c>
      <c r="J56" s="5">
        <f t="shared" si="4"/>
        <v>1.0533083477974388</v>
      </c>
    </row>
    <row r="57" spans="1:17" x14ac:dyDescent="0.25">
      <c r="A57" s="8" t="s">
        <v>1</v>
      </c>
      <c r="B57" s="7"/>
      <c r="C57" s="7"/>
      <c r="D57" s="7"/>
      <c r="E57" s="7"/>
      <c r="F57" s="7"/>
      <c r="G57" s="7"/>
      <c r="H57" s="6"/>
      <c r="I57" s="6"/>
      <c r="J57" s="5"/>
    </row>
    <row r="58" spans="1:17" ht="13.8" thickBot="1" x14ac:dyDescent="0.3">
      <c r="A58" s="4" t="s">
        <v>0</v>
      </c>
      <c r="B58" s="3"/>
      <c r="C58" s="3"/>
      <c r="D58" s="3"/>
      <c r="E58" s="3"/>
      <c r="F58" s="3"/>
      <c r="G58" s="3"/>
      <c r="H58" s="3"/>
      <c r="I58" s="3"/>
      <c r="J58" s="2"/>
    </row>
    <row r="59" spans="1:17" ht="13.8" thickBot="1" x14ac:dyDescent="0.3"/>
    <row r="60" spans="1:17" x14ac:dyDescent="0.25">
      <c r="A60" s="12"/>
      <c r="B60" s="25" t="s">
        <v>20</v>
      </c>
      <c r="C60" s="25"/>
      <c r="D60" s="25"/>
      <c r="E60" s="25"/>
      <c r="F60" s="25"/>
      <c r="G60" s="25" t="s">
        <v>11</v>
      </c>
      <c r="H60" s="25"/>
      <c r="I60" s="25"/>
      <c r="J60" s="26"/>
    </row>
    <row r="61" spans="1:17" x14ac:dyDescent="0.25">
      <c r="A61" s="19"/>
      <c r="B61" s="25" t="s">
        <v>10</v>
      </c>
      <c r="C61" s="25" t="s">
        <v>9</v>
      </c>
      <c r="D61" s="25" t="s">
        <v>8</v>
      </c>
      <c r="E61" s="25" t="s">
        <v>19</v>
      </c>
      <c r="F61" s="25"/>
      <c r="G61" s="25" t="s">
        <v>10</v>
      </c>
      <c r="H61" s="25" t="s">
        <v>9</v>
      </c>
      <c r="I61" s="25" t="s">
        <v>8</v>
      </c>
      <c r="J61" s="25" t="s">
        <v>18</v>
      </c>
    </row>
    <row r="62" spans="1:17" x14ac:dyDescent="0.25">
      <c r="A62" s="8"/>
    </row>
    <row r="63" spans="1:17" x14ac:dyDescent="0.25">
      <c r="A63" s="8"/>
      <c r="B63" s="14">
        <v>12527</v>
      </c>
      <c r="C63" s="14">
        <v>19596.94899275398</v>
      </c>
      <c r="D63" s="14">
        <v>14991.487286566131</v>
      </c>
      <c r="E63" s="14">
        <v>18617.101543116281</v>
      </c>
      <c r="F63" s="14"/>
      <c r="G63" s="14">
        <v>6215.4557965062531</v>
      </c>
      <c r="H63" s="14">
        <v>10208.655363863305</v>
      </c>
      <c r="I63" s="14">
        <v>6998.4533001077543</v>
      </c>
      <c r="J63" s="14">
        <v>9717.6178127023886</v>
      </c>
    </row>
    <row r="64" spans="1:17" x14ac:dyDescent="0.25">
      <c r="A64" s="8" t="s">
        <v>17</v>
      </c>
      <c r="B64" s="14">
        <v>10011.142433904823</v>
      </c>
      <c r="C64" s="14">
        <v>16548.671243484812</v>
      </c>
      <c r="D64" s="14">
        <v>11093.700592058936</v>
      </c>
      <c r="E64" s="14">
        <v>15452.194280786513</v>
      </c>
      <c r="F64" s="14"/>
      <c r="G64" s="14">
        <v>6104.3551426248923</v>
      </c>
      <c r="H64" s="14">
        <v>10090.653197246836</v>
      </c>
      <c r="I64" s="14">
        <v>6449.8259256156607</v>
      </c>
      <c r="J64" s="14">
        <v>9422.0696834064111</v>
      </c>
    </row>
    <row r="65" spans="1:10" x14ac:dyDescent="0.25">
      <c r="A65" s="8" t="s">
        <v>16</v>
      </c>
      <c r="B65" s="14">
        <v>2068.4302996314696</v>
      </c>
      <c r="C65" s="14">
        <v>2068.4302996314696</v>
      </c>
      <c r="D65" s="14">
        <v>1499.148728656613</v>
      </c>
      <c r="E65" s="14">
        <v>1861.7101543116282</v>
      </c>
      <c r="F65" s="14"/>
      <c r="G65" s="14">
        <v>103.42151498157348</v>
      </c>
      <c r="H65" s="14">
        <v>103.42151498157348</v>
      </c>
      <c r="I65" s="14">
        <v>74.957436432830647</v>
      </c>
      <c r="J65" s="14">
        <v>93.085507715581414</v>
      </c>
    </row>
    <row r="66" spans="1:10" x14ac:dyDescent="0.25">
      <c r="A66" s="8" t="s">
        <v>15</v>
      </c>
      <c r="B66" s="14">
        <v>322.15726646370774</v>
      </c>
      <c r="C66" s="14">
        <v>783.87795971015919</v>
      </c>
      <c r="D66" s="14">
        <v>1798.9784743879354</v>
      </c>
      <c r="E66" s="14">
        <v>930.85507715581412</v>
      </c>
      <c r="F66" s="14"/>
      <c r="G66" s="14">
        <v>4.9259520866010362</v>
      </c>
      <c r="H66" s="14">
        <v>10.273629878245861</v>
      </c>
      <c r="I66" s="14">
        <v>20.630487091604763</v>
      </c>
      <c r="J66" s="14">
        <v>12.199935480416961</v>
      </c>
    </row>
    <row r="67" spans="1:10" x14ac:dyDescent="0.25">
      <c r="A67" s="8" t="s">
        <v>14</v>
      </c>
      <c r="B67" s="14">
        <v>125.27</v>
      </c>
      <c r="C67" s="14">
        <v>195.9694899275398</v>
      </c>
      <c r="D67" s="14">
        <v>149.91487286566129</v>
      </c>
      <c r="E67" s="14">
        <v>186.17101543116283</v>
      </c>
      <c r="F67" s="14"/>
      <c r="G67" s="14">
        <v>2.7531868131868129</v>
      </c>
      <c r="H67" s="14">
        <v>4.3070217566492266</v>
      </c>
      <c r="I67" s="14">
        <v>3.2948323706738747</v>
      </c>
      <c r="J67" s="14">
        <v>4.0916706688167652</v>
      </c>
    </row>
    <row r="68" spans="1:10" ht="13.8" thickBot="1" x14ac:dyDescent="0.3">
      <c r="A68" s="24" t="s">
        <v>13</v>
      </c>
      <c r="B68" s="14">
        <v>0</v>
      </c>
      <c r="C68" s="14">
        <v>0</v>
      </c>
      <c r="D68" s="14">
        <v>449.74461859698386</v>
      </c>
      <c r="E68" s="14">
        <v>186.17101543116283</v>
      </c>
      <c r="F68" s="14"/>
      <c r="G68" s="14">
        <v>0</v>
      </c>
      <c r="H68" s="14">
        <v>0</v>
      </c>
      <c r="I68" s="14">
        <v>449.74461859698386</v>
      </c>
      <c r="J68" s="14">
        <v>186.17101543116283</v>
      </c>
    </row>
    <row r="69" spans="1:10" x14ac:dyDescent="0.25">
      <c r="A69" s="12" t="s">
        <v>4</v>
      </c>
      <c r="B69" s="23"/>
      <c r="C69" s="23"/>
      <c r="D69" s="23"/>
      <c r="E69" s="23"/>
      <c r="F69" s="23"/>
      <c r="G69" s="23"/>
      <c r="H69" s="23"/>
      <c r="I69" s="23"/>
      <c r="J69" s="22"/>
    </row>
    <row r="70" spans="1:10" x14ac:dyDescent="0.25">
      <c r="A70" s="8" t="s">
        <v>17</v>
      </c>
      <c r="B70" s="15"/>
      <c r="C70" s="15"/>
      <c r="D70" s="15"/>
      <c r="E70" s="15"/>
      <c r="F70" s="15"/>
      <c r="G70" s="15"/>
      <c r="H70" s="15"/>
      <c r="I70" s="15"/>
      <c r="J70" s="21"/>
    </row>
    <row r="71" spans="1:10" x14ac:dyDescent="0.25">
      <c r="A71" s="8" t="s">
        <v>16</v>
      </c>
      <c r="B71" s="15"/>
      <c r="C71" s="15"/>
      <c r="D71" s="15"/>
      <c r="E71" s="15"/>
      <c r="F71" s="15"/>
      <c r="G71" s="15"/>
      <c r="H71" s="15"/>
      <c r="I71" s="15"/>
      <c r="J71" s="21"/>
    </row>
    <row r="72" spans="1:10" x14ac:dyDescent="0.25">
      <c r="A72" s="8" t="s">
        <v>15</v>
      </c>
      <c r="B72" s="15"/>
      <c r="C72" s="15"/>
      <c r="D72" s="15"/>
      <c r="E72" s="15"/>
      <c r="F72" s="15"/>
      <c r="G72" s="15"/>
      <c r="H72" s="15"/>
      <c r="I72" s="15"/>
      <c r="J72" s="21"/>
    </row>
    <row r="73" spans="1:10" x14ac:dyDescent="0.25">
      <c r="A73" s="8" t="s">
        <v>14</v>
      </c>
      <c r="B73" s="15"/>
      <c r="C73" s="15"/>
      <c r="D73" s="15"/>
      <c r="E73" s="15"/>
      <c r="F73" s="15"/>
      <c r="G73" s="15"/>
      <c r="H73" s="15"/>
      <c r="I73" s="15"/>
      <c r="J73" s="21"/>
    </row>
    <row r="74" spans="1:10" ht="13.8" thickBot="1" x14ac:dyDescent="0.3">
      <c r="A74" s="4" t="s">
        <v>13</v>
      </c>
      <c r="B74" s="13"/>
      <c r="C74" s="13"/>
      <c r="D74" s="13"/>
      <c r="E74" s="13"/>
      <c r="F74" s="13"/>
      <c r="G74" s="13"/>
      <c r="H74" s="13"/>
      <c r="I74" s="13"/>
      <c r="J74" s="20"/>
    </row>
    <row r="75" spans="1:10" x14ac:dyDescent="0.25">
      <c r="A75" s="19"/>
      <c r="B75" s="17" t="s">
        <v>12</v>
      </c>
      <c r="C75" s="17"/>
      <c r="D75" s="17"/>
      <c r="E75" s="17"/>
      <c r="F75" s="18"/>
      <c r="G75" s="17" t="s">
        <v>11</v>
      </c>
      <c r="H75" s="17"/>
      <c r="I75" s="18"/>
      <c r="J75" s="17"/>
    </row>
    <row r="76" spans="1:10" x14ac:dyDescent="0.25">
      <c r="A76" s="19"/>
      <c r="B76" s="17" t="s">
        <v>10</v>
      </c>
      <c r="C76" s="17" t="s">
        <v>9</v>
      </c>
      <c r="D76" s="18" t="s">
        <v>8</v>
      </c>
      <c r="E76" s="17" t="s">
        <v>7</v>
      </c>
      <c r="F76" s="18"/>
      <c r="G76" s="17" t="s">
        <v>10</v>
      </c>
      <c r="H76" s="17" t="s">
        <v>9</v>
      </c>
      <c r="I76" s="18" t="s">
        <v>8</v>
      </c>
      <c r="J76" s="17" t="s">
        <v>7</v>
      </c>
    </row>
    <row r="77" spans="1:10" x14ac:dyDescent="0.25">
      <c r="A77" s="8" t="s">
        <v>6</v>
      </c>
    </row>
    <row r="78" spans="1:10" x14ac:dyDescent="0.25">
      <c r="A78" s="8" t="s">
        <v>5</v>
      </c>
      <c r="B78" s="15">
        <v>11638</v>
      </c>
      <c r="C78" s="15">
        <v>16654.247035272681</v>
      </c>
      <c r="D78" s="16">
        <v>13317.091761086293</v>
      </c>
      <c r="E78" s="15">
        <v>15821.534683509046</v>
      </c>
      <c r="F78" s="14"/>
      <c r="G78" s="15">
        <v>1106.6246698872785</v>
      </c>
      <c r="H78" s="15">
        <v>2084.8971813503067</v>
      </c>
      <c r="I78" s="14">
        <v>1260.2901062195442</v>
      </c>
      <c r="J78" s="15">
        <v>1844.9489046688739</v>
      </c>
    </row>
    <row r="79" spans="1:10" x14ac:dyDescent="0.25">
      <c r="A79" s="8" t="s">
        <v>3</v>
      </c>
      <c r="B79" s="15">
        <v>5000</v>
      </c>
      <c r="C79" s="15">
        <v>9492.9208101054301</v>
      </c>
      <c r="D79" s="1">
        <v>5326.8367044345168</v>
      </c>
      <c r="E79" s="15">
        <v>8385.4133822597942</v>
      </c>
      <c r="F79" s="14"/>
      <c r="G79" s="15">
        <v>1086.9565217391303</v>
      </c>
      <c r="H79" s="15">
        <v>2063.6784369794409</v>
      </c>
      <c r="I79" s="14">
        <v>1242.9285643680539</v>
      </c>
      <c r="J79" s="15">
        <v>1822.9159526651724</v>
      </c>
    </row>
    <row r="80" spans="1:10" x14ac:dyDescent="0.25">
      <c r="A80" s="8" t="s">
        <v>2</v>
      </c>
      <c r="B80" s="15">
        <v>6638</v>
      </c>
      <c r="C80" s="15">
        <v>7161.3262251672531</v>
      </c>
      <c r="D80" s="1">
        <v>7990.2550566517739</v>
      </c>
      <c r="E80" s="15">
        <v>7436.1213012492508</v>
      </c>
      <c r="F80" s="14"/>
      <c r="G80" s="15">
        <v>19.668148148148148</v>
      </c>
      <c r="H80" s="15">
        <v>21.218744370865934</v>
      </c>
      <c r="I80" s="14">
        <v>17.361541851490276</v>
      </c>
      <c r="J80" s="15">
        <v>22.032952003701485</v>
      </c>
    </row>
    <row r="81" spans="1:10" x14ac:dyDescent="0.25">
      <c r="A81" s="8" t="s">
        <v>1</v>
      </c>
      <c r="B81" s="15">
        <v>0</v>
      </c>
      <c r="C81" s="15">
        <v>0</v>
      </c>
      <c r="D81" s="14">
        <v>0</v>
      </c>
      <c r="E81" s="15">
        <v>0</v>
      </c>
      <c r="F81" s="14"/>
      <c r="G81" s="15">
        <v>0</v>
      </c>
      <c r="H81" s="15">
        <v>0</v>
      </c>
      <c r="I81" s="14">
        <v>0</v>
      </c>
      <c r="J81" s="15">
        <v>0</v>
      </c>
    </row>
    <row r="82" spans="1:10" ht="13.8" thickBot="1" x14ac:dyDescent="0.3">
      <c r="A82" s="4" t="s">
        <v>0</v>
      </c>
      <c r="B82" s="13">
        <v>0</v>
      </c>
      <c r="C82" s="13">
        <v>0</v>
      </c>
      <c r="D82" s="14">
        <v>0</v>
      </c>
      <c r="E82" s="13">
        <v>0</v>
      </c>
      <c r="F82" s="14"/>
      <c r="G82" s="13">
        <v>0</v>
      </c>
      <c r="H82" s="13">
        <v>0</v>
      </c>
      <c r="I82" s="14">
        <v>0</v>
      </c>
      <c r="J82" s="13">
        <v>0</v>
      </c>
    </row>
    <row r="83" spans="1:10" x14ac:dyDescent="0.25">
      <c r="A83" s="12" t="s">
        <v>4</v>
      </c>
      <c r="B83" s="11"/>
      <c r="C83" s="11"/>
      <c r="D83" s="11"/>
      <c r="E83" s="10"/>
      <c r="F83" s="11"/>
      <c r="G83" s="11"/>
      <c r="H83" s="11"/>
      <c r="I83" s="10"/>
      <c r="J83" s="9"/>
    </row>
    <row r="84" spans="1:10" x14ac:dyDescent="0.25">
      <c r="A84" s="8" t="s">
        <v>3</v>
      </c>
      <c r="B84" s="7"/>
      <c r="C84" s="7"/>
      <c r="D84" s="7"/>
      <c r="E84" s="7"/>
      <c r="F84" s="7"/>
      <c r="G84" s="7"/>
      <c r="H84" s="6"/>
      <c r="I84" s="6"/>
      <c r="J84" s="5"/>
    </row>
    <row r="85" spans="1:10" x14ac:dyDescent="0.25">
      <c r="A85" s="8" t="s">
        <v>2</v>
      </c>
      <c r="B85" s="7"/>
      <c r="C85" s="7"/>
      <c r="D85" s="7"/>
      <c r="E85" s="7"/>
      <c r="F85" s="7"/>
      <c r="G85" s="7"/>
      <c r="H85" s="6"/>
      <c r="I85" s="6"/>
      <c r="J85" s="5"/>
    </row>
    <row r="86" spans="1:10" x14ac:dyDescent="0.25">
      <c r="A86" s="8" t="s">
        <v>1</v>
      </c>
      <c r="B86" s="7"/>
      <c r="C86" s="7"/>
      <c r="D86" s="7"/>
      <c r="E86" s="7"/>
      <c r="F86" s="7"/>
      <c r="G86" s="7"/>
      <c r="H86" s="6"/>
      <c r="I86" s="6"/>
      <c r="J86" s="5"/>
    </row>
    <row r="87" spans="1:10" ht="13.8" thickBot="1" x14ac:dyDescent="0.3">
      <c r="A87" s="4" t="s">
        <v>0</v>
      </c>
      <c r="B87" s="3"/>
      <c r="C87" s="3"/>
      <c r="D87" s="3"/>
      <c r="E87" s="3"/>
      <c r="F87" s="3"/>
      <c r="G87" s="3"/>
      <c r="H87" s="3"/>
      <c r="I87" s="3"/>
      <c r="J87" s="2"/>
    </row>
    <row r="90" spans="1:10" x14ac:dyDescent="0.25">
      <c r="D90" s="1">
        <v>5326.8367044345168</v>
      </c>
    </row>
    <row r="91" spans="1:10" x14ac:dyDescent="0.25">
      <c r="D91" s="1">
        <v>7990.2550566517739</v>
      </c>
    </row>
  </sheetData>
  <mergeCells count="1">
    <mergeCell ref="N3:Q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3.2" x14ac:dyDescent="0.25"/>
  <sheetData>
    <row r="4" spans="1:1" x14ac:dyDescent="0.25">
      <c r="A4">
        <v>6500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Ohusaaste</vt:lpstr>
      <vt:lpstr>Ohusaaste (joonised)</vt:lpstr>
      <vt:lpstr>Copert_jagunemineLinnMaa</vt:lpstr>
      <vt:lpstr>Labisoit</vt:lpstr>
      <vt:lpstr>Sheet1</vt:lpstr>
    </vt:vector>
  </TitlesOfParts>
  <Company>SEI Tallinn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Jüssi</dc:creator>
  <cp:lastModifiedBy>Jaanus Uiga</cp:lastModifiedBy>
  <dcterms:created xsi:type="dcterms:W3CDTF">2014-01-22T12:28:23Z</dcterms:created>
  <dcterms:modified xsi:type="dcterms:W3CDTF">2014-10-16T12:36:47Z</dcterms:modified>
</cp:coreProperties>
</file>