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6.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aanus\Dropbox\01_Töö Arengufond\ENMAK2030\Stsenaariumid\Kohalikud kütused\"/>
    </mc:Choice>
  </mc:AlternateContent>
  <bookViews>
    <workbookView xWindow="6216" yWindow="0" windowWidth="13272" windowHeight="4440" tabRatio="865" firstSheet="5" activeTab="6"/>
  </bookViews>
  <sheets>
    <sheet name="KOOND" sheetId="16" r:id="rId1"/>
    <sheet name="uus_info" sheetId="18" r:id="rId2"/>
    <sheet name="abitabelid" sheetId="13" r:id="rId3"/>
    <sheet name="Biomet_max" sheetId="5" r:id="rId4"/>
    <sheet name="Biomet_vähes" sheetId="6" r:id="rId5"/>
    <sheet name="Biomet_mittes" sheetId="7" r:id="rId6"/>
    <sheet name="Bioet_max" sheetId="9" r:id="rId7"/>
    <sheet name="Bioet_vähes" sheetId="10" r:id="rId8"/>
    <sheet name="Bioet_mittes" sheetId="11" r:id="rId9"/>
    <sheet name="Tulemused" sheetId="2" r:id="rId10"/>
    <sheet name="Bioetanooli abitabelid" sheetId="14" r:id="rId11"/>
    <sheet name="Lähteeeldused" sheetId="1" r:id="rId12"/>
    <sheet name="kütuste tarbimine EE" sheetId="12" r:id="rId13"/>
    <sheet name="standardid" sheetId="15" r:id="rId14"/>
    <sheet name="Eeldused" sheetId="3" r:id="rId15"/>
    <sheet name="Biometaan MAX_teadmistepõhine_k" sheetId="4" r:id="rId16"/>
    <sheet name="talituur" sheetId="19" r:id="rId17"/>
    <sheet name="TJ_kytusehinnad" sheetId="20" r:id="rId18"/>
    <sheet name="Biomet_max_GRAAf" sheetId="21" r:id="rId19"/>
    <sheet name="Sheet2" sheetId="22" r:id="rId20"/>
    <sheet name="Sheet3" sheetId="24" r:id="rId21"/>
    <sheet name="Sheet4" sheetId="25" r:id="rId22"/>
    <sheet name="kütuste tarbimine EE (2)" sheetId="27" r:id="rId23"/>
    <sheet name="Sheet5" sheetId="26" r:id="rId24"/>
  </sheets>
  <externalReferences>
    <externalReference r:id="rId25"/>
    <externalReference r:id="rId26"/>
    <externalReference r:id="rId27"/>
    <externalReference r:id="rId28"/>
  </externalReferences>
  <definedNames>
    <definedName name="_____RESULTS____" localSheetId="18">#REF!</definedName>
    <definedName name="_____RESULTS____" localSheetId="22">#REF!</definedName>
    <definedName name="_____RESULTS____" localSheetId="17">#REF!</definedName>
    <definedName name="_____RESULTS____">#REF!</definedName>
    <definedName name="___INPUT_DATA___" localSheetId="18">#REF!</definedName>
    <definedName name="___INPUT_DATA___" localSheetId="22">#REF!</definedName>
    <definedName name="___INPUT_DATA___">#REF!</definedName>
    <definedName name="_2">'[1]Basic Information'!$B$7</definedName>
    <definedName name="Annual_Fuel_Consumption_t" localSheetId="18">#REF!</definedName>
    <definedName name="Annual_Fuel_Consumption_t" localSheetId="22">#REF!</definedName>
    <definedName name="Annual_Fuel_Consumption_t">#REF!</definedName>
    <definedName name="balmorel_base_name">'[2]Basic Information'!$B$10</definedName>
    <definedName name="balmorel_base_year">'[2]Basic Information'!$C$10</definedName>
    <definedName name="balmorel_ref_name">'[2]Basic Information'!$B$11</definedName>
    <definedName name="balmorel_ref_year">'[2]Basic Information'!$C$11</definedName>
    <definedName name="balmorel_scen_name">'[2]Basic Information'!$B$12</definedName>
    <definedName name="balmorel_scen_year">'[2]Basic Information'!$C$12</definedName>
    <definedName name="Base_year" localSheetId="17">'[2]Basic Information'!$C$7</definedName>
    <definedName name="Base_year">'[3]Basic Information'!$C$7</definedName>
    <definedName name="Basename" localSheetId="17">'[2]Basic Information'!$B$7</definedName>
    <definedName name="Basename">'[3]Basic Information'!$B$7</definedName>
    <definedName name="cap_rate" localSheetId="17">'[2]Basic Information'!$C$32</definedName>
    <definedName name="cap_rate">'[3]Basic Information'!$C$32</definedName>
    <definedName name="CO2_cost_base">'[2]Basic Information'!$C$57</definedName>
    <definedName name="CO2_cost_ref">'[2]Basic Information'!$D$57</definedName>
    <definedName name="CO2_cost_sce">'[2]Basic Information'!$E$57</definedName>
    <definedName name="DHProdUnit" localSheetId="18">OFFSET(#REF!,0,0,COUNTA(#REF!))</definedName>
    <definedName name="DHProdUnit" localSheetId="22">OFFSET(#REF!,0,0,COUNTA(#REF!))</definedName>
    <definedName name="DHProdUnit" localSheetId="17">OFFSET('[2]DH-Tech'!$A$12,0,0,COUNTA('[2]DH-Tech'!$A$12:$A$76))</definedName>
    <definedName name="DHProdUnit">OFFSET(#REF!,0,0,COUNTA(#REF!))</definedName>
    <definedName name="Dispatch" localSheetId="18">OFFSET(#REF!,0,0,COUNTA(#REF!))</definedName>
    <definedName name="Dispatch" localSheetId="22">OFFSET(#REF!,0,0,COUNTA(#REF!))</definedName>
    <definedName name="Dispatch" localSheetId="17">OFFSET([2]Definitions!$L$11,0,0,COUNTA([2]Definitions!$L$11:$L$28))</definedName>
    <definedName name="Dispatch">OFFSET(#REF!,0,0,COUNTA(#REF!))</definedName>
    <definedName name="DKKTOEUR" localSheetId="17">'[2]Basic Information'!$C$33</definedName>
    <definedName name="DKKTOEUR">'[3]Basic Information'!$C$33</definedName>
    <definedName name="DurCurveHeat" localSheetId="18">OFFSET(#REF!,0,0,COUNTA(#REF!))</definedName>
    <definedName name="DurCurveHeat" localSheetId="22">OFFSET(#REF!,0,0,COUNTA(#REF!))</definedName>
    <definedName name="DurCurveHeat" localSheetId="17">OFFSET([2]Definitions!$P$11,0,0,COUNTA([2]Definitions!$P$11:$P$30))</definedName>
    <definedName name="DurCurveHeat">OFFSET(#REF!,0,0,COUNTA(#REF!))</definedName>
    <definedName name="DurCurvePower" localSheetId="18">OFFSET(#REF!,0,0,COUNTA(#REF!))</definedName>
    <definedName name="DurCurvePower" localSheetId="22">OFFSET(#REF!,0,0,COUNTA(#REF!))</definedName>
    <definedName name="DurCurvePower" localSheetId="17">OFFSET([2]Definitions!$J$11,0,0,COUNTA([2]Definitions!$J$11:$J$30))</definedName>
    <definedName name="DurCurvePower">OFFSET(#REF!,0,0,COUNTA(#REF!))</definedName>
    <definedName name="ElProdUnit" localSheetId="18">OFFSET(#REF!,0,0,COUNTA(#REF!))</definedName>
    <definedName name="ElProdUnit" localSheetId="22">OFFSET(#REF!,0,0,COUNTA(#REF!))</definedName>
    <definedName name="ElProdUnit" localSheetId="17">OFFSET('[2]El-Tech'!$A$12,0,0,COUNTA('[2]El-Tech'!$A$12:$A$75))</definedName>
    <definedName name="ElProdUnit">OFFSET(#REF!,0,0,COUNTA(#REF!))</definedName>
    <definedName name="ff">'[4]Basic Information'!$B$8</definedName>
    <definedName name="FuelCategory" localSheetId="18">OFFSET(#REF!,0,0,COUNTA(#REF!))</definedName>
    <definedName name="FuelCategory" localSheetId="22">OFFSET(#REF!,0,0,COUNTA(#REF!))</definedName>
    <definedName name="FuelCategory" localSheetId="17">OFFSET([2]Definitions!$D$11,0,0,COUNTA([2]Definitions!$D$11:$D$30))</definedName>
    <definedName name="FuelCategory">OFFSET(#REF!,0,0,COUNTA(#REF!))</definedName>
    <definedName name="FuelName" localSheetId="18">OFFSET(#REF!,0,0,COUNTA(#REF!))</definedName>
    <definedName name="FuelName" localSheetId="22">OFFSET(#REF!,0,0,COUNTA(#REF!))</definedName>
    <definedName name="FuelName" localSheetId="17">OFFSET('[2]Fuel data'!$A$11,0,0,COUNTA('[2]Fuel data'!$A$11:$A$75))</definedName>
    <definedName name="FuelName">OFFSET(#REF!,0,0,COUNTA(#REF!))</definedName>
    <definedName name="FuelState" localSheetId="18">OFFSET(#REF!,0,0,COUNTA(#REF!))</definedName>
    <definedName name="FuelState" localSheetId="22">OFFSET(#REF!,0,0,COUNTA(#REF!))</definedName>
    <definedName name="FuelState" localSheetId="17">OFFSET([2]Definitions!$E$11,0,0,COUNTA([2]Definitions!$E$11:$E$30))</definedName>
    <definedName name="FuelState">OFFSET(#REF!,0,0,COUNTA(#REF!))</definedName>
    <definedName name="FuelType" localSheetId="18">OFFSET(#REF!,0,0,COUNTA(#REF!))</definedName>
    <definedName name="FuelType" localSheetId="22">OFFSET(#REF!,0,0,COUNTA(#REF!))</definedName>
    <definedName name="FuelType" localSheetId="17">OFFSET([2]Definitions!$C$11,0,0,COUNTA([2]Definitions!$C$11:$C$30))</definedName>
    <definedName name="FuelType">OFFSET(#REF!,0,0,COUNTA(#REF!))</definedName>
    <definedName name="H_CH4_Emiss_t" localSheetId="18">#REF!</definedName>
    <definedName name="H_CH4_Emiss_t" localSheetId="22">#REF!</definedName>
    <definedName name="H_CH4_Emiss_t" localSheetId="17">#REF!</definedName>
    <definedName name="H_CH4_Emiss_t">#REF!</definedName>
    <definedName name="H_CO2_AC_Emiss_t" localSheetId="18">#REF!</definedName>
    <definedName name="H_CO2_AC_Emiss_t" localSheetId="22">#REF!</definedName>
    <definedName name="H_CO2_AC_Emiss_t">#REF!</definedName>
    <definedName name="H_CO2_Emiss_t" localSheetId="18">#REF!</definedName>
    <definedName name="H_CO2_Emiss_t" localSheetId="22">#REF!</definedName>
    <definedName name="H_CO2_Emiss_t">#REF!</definedName>
    <definedName name="H_CO2_Lube_Emiss_t" localSheetId="18">#REF!</definedName>
    <definedName name="H_CO2_Lube_Emiss_t" localSheetId="22">#REF!</definedName>
    <definedName name="H_CO2_Lube_Emiss_t">#REF!</definedName>
    <definedName name="H_CO2_SCR_Emiss_t" localSheetId="18">#REF!</definedName>
    <definedName name="H_CO2_SCR_Emiss_t" localSheetId="22">#REF!</definedName>
    <definedName name="H_CO2_SCR_Emiss_t">#REF!</definedName>
    <definedName name="H_FC_AC_Emiss_t" localSheetId="18">#REF!</definedName>
    <definedName name="H_FC_AC_Emiss_t" localSheetId="22">#REF!</definedName>
    <definedName name="H_FC_AC_Emiss_t">#REF!</definedName>
    <definedName name="H_FC_Emiss_t" localSheetId="18">#REF!</definedName>
    <definedName name="H_FC_Emiss_t" localSheetId="22">#REF!</definedName>
    <definedName name="H_FC_Emiss_t">#REF!</definedName>
    <definedName name="H_N2O_Emiss_t" localSheetId="18">#REF!</definedName>
    <definedName name="H_N2O_Emiss_t" localSheetId="22">#REF!</definedName>
    <definedName name="H_N2O_Emiss_t">#REF!</definedName>
    <definedName name="H_Share_perc" localSheetId="18">#REF!</definedName>
    <definedName name="H_Share_perc" localSheetId="22">#REF!</definedName>
    <definedName name="H_Share_perc">#REF!</definedName>
    <definedName name="H_Speed_km_per_h" localSheetId="18">#REF!</definedName>
    <definedName name="H_Speed_km_per_h" localSheetId="22">#REF!</definedName>
    <definedName name="H_Speed_km_per_h">#REF!</definedName>
    <definedName name="IndTech" localSheetId="18">OFFSET(#REF!,0,0,COUNTA(#REF!))</definedName>
    <definedName name="IndTech" localSheetId="22">OFFSET(#REF!,0,0,COUNTA(#REF!))</definedName>
    <definedName name="IndTech" localSheetId="17">OFFSET('[2]Ind-Tech'!$A$11,0,0,COUNTA('[2]Ind-Tech'!$A$11:$A$75))</definedName>
    <definedName name="IndTech">OFFSET(#REF!,0,0,COUNTA(#REF!))</definedName>
    <definedName name="Mean_Fleet_Mileage_km" localSheetId="18">#REF!</definedName>
    <definedName name="Mean_Fleet_Mileage_km" localSheetId="22">#REF!</definedName>
    <definedName name="Mean_Fleet_Mileage_km" localSheetId="17">#REF!</definedName>
    <definedName name="Mean_Fleet_Mileage_km">#REF!</definedName>
    <definedName name="Mode" localSheetId="18">OFFSET(#REF!,0,0,COUNTA(#REF!))</definedName>
    <definedName name="Mode" localSheetId="22">OFFSET(#REF!,0,0,COUNTA(#REF!))</definedName>
    <definedName name="Mode" localSheetId="17">OFFSET([2]Definitions!$N$11,0,0,COUNTA([2]Definitions!$N$11:$N$30))</definedName>
    <definedName name="Mode">OFFSET(#REF!,0,0,COUNTA(#REF!))</definedName>
    <definedName name="ModelMode" localSheetId="18">#REF!</definedName>
    <definedName name="ModelMode" localSheetId="22">#REF!</definedName>
    <definedName name="ModelMode" localSheetId="17">[2]Definitions!$R$11:$R$12</definedName>
    <definedName name="ModelMode">#REF!</definedName>
    <definedName name="R_CH4_Emiss_t" localSheetId="18">#REF!</definedName>
    <definedName name="R_CH4_Emiss_t" localSheetId="22">#REF!</definedName>
    <definedName name="R_CH4_Emiss_t" localSheetId="17">#REF!</definedName>
    <definedName name="R_CH4_Emiss_t">#REF!</definedName>
    <definedName name="R_CO2_AC_Emiss_t" localSheetId="18">#REF!</definedName>
    <definedName name="R_CO2_AC_Emiss_t" localSheetId="22">#REF!</definedName>
    <definedName name="R_CO2_AC_Emiss_t">#REF!</definedName>
    <definedName name="R_CO2_Emiss_t" localSheetId="18">#REF!</definedName>
    <definedName name="R_CO2_Emiss_t" localSheetId="22">#REF!</definedName>
    <definedName name="R_CO2_Emiss_t">#REF!</definedName>
    <definedName name="R_CO2_Lube_Emiss_t" localSheetId="18">#REF!</definedName>
    <definedName name="R_CO2_Lube_Emiss_t" localSheetId="22">#REF!</definedName>
    <definedName name="R_CO2_Lube_Emiss_t">#REF!</definedName>
    <definedName name="R_CO2_SCR_Emiss_t" localSheetId="18">#REF!</definedName>
    <definedName name="R_CO2_SCR_Emiss_t" localSheetId="22">#REF!</definedName>
    <definedName name="R_CO2_SCR_Emiss_t">#REF!</definedName>
    <definedName name="R_FC_AC_Emiss_t" localSheetId="18">#REF!</definedName>
    <definedName name="R_FC_AC_Emiss_t" localSheetId="22">#REF!</definedName>
    <definedName name="R_FC_AC_Emiss_t">#REF!</definedName>
    <definedName name="R_FC_Emiss_t" localSheetId="18">#REF!</definedName>
    <definedName name="R_FC_Emiss_t" localSheetId="22">#REF!</definedName>
    <definedName name="R_FC_Emiss_t">#REF!</definedName>
    <definedName name="R_N2O_Emiss_t" localSheetId="18">#REF!</definedName>
    <definedName name="R_N2O_Emiss_t" localSheetId="22">#REF!</definedName>
    <definedName name="R_N2O_Emiss_t">#REF!</definedName>
    <definedName name="R_Share_perc" localSheetId="18">#REF!</definedName>
    <definedName name="R_Share_perc" localSheetId="22">#REF!</definedName>
    <definedName name="R_Share_perc">#REF!</definedName>
    <definedName name="R_Speed_km_per_h" localSheetId="18">#REF!</definedName>
    <definedName name="R_Speed_km_per_h" localSheetId="22">#REF!</definedName>
    <definedName name="R_Speed_km_per_h">#REF!</definedName>
    <definedName name="Reference_name" localSheetId="17">'[2]Basic Information'!$B$8</definedName>
    <definedName name="Reference_name">'[3]Basic Information'!$B$8</definedName>
    <definedName name="Reference_year" localSheetId="17">'[2]Basic Information'!$C$8</definedName>
    <definedName name="Reference_year">'[3]Basic Information'!$C$8</definedName>
    <definedName name="RefinedFuels" localSheetId="18">OFFSET(#REF!, 0, 0, COUNT(IF(#REF!="", "", 1)), 1)</definedName>
    <definedName name="RefinedFuels" localSheetId="22">OFFSET(#REF!, 0, 0, COUNT(IF(#REF!="", "", 1)), 1)</definedName>
    <definedName name="RefinedFuels" localSheetId="17">OFFSET([2]Definitions!$G$11, 0, 0, COUNT(IF([2]Definitions!$G$11:$G$75="", "", 1)), 1)</definedName>
    <definedName name="RefinedFuels">OFFSET(#REF!, 0, 0, COUNT(IF(#REF!="", "", 1)), 1)</definedName>
    <definedName name="ResTech" localSheetId="18">OFFSET(#REF!,0,0,COUNTA(#REF!))</definedName>
    <definedName name="ResTech" localSheetId="22">OFFSET(#REF!,0,0,COUNTA(#REF!))</definedName>
    <definedName name="ResTech" localSheetId="17">OFFSET('[2]Res-Tech'!$A$11,0,0,COUNTA('[2]Res-Tech'!$A$11:$A$75))</definedName>
    <definedName name="ResTech">OFFSET(#REF!,0,0,COUNTA(#REF!))</definedName>
    <definedName name="Scenario_name" localSheetId="17">'[2]Basic Information'!$B$9</definedName>
    <definedName name="Scenario_name">'[3]Basic Information'!$B$9</definedName>
    <definedName name="Scenario_year" localSheetId="17">'[2]Basic Information'!$C$9</definedName>
    <definedName name="Scenario_year">'[3]Basic Information'!$C$9</definedName>
    <definedName name="TerTech" localSheetId="18">OFFSET(#REF!,0,0,COUNTA(#REF!))</definedName>
    <definedName name="TerTech" localSheetId="22">OFFSET(#REF!,0,0,COUNTA(#REF!))</definedName>
    <definedName name="TerTech" localSheetId="17">OFFSET('[2]Ter-Tech'!$A$11,0,0,COUNTA('[2]Ter-Tech'!$A$11:$A$75))</definedName>
    <definedName name="TerTech">OFFSET(#REF!,0,0,COUNTA(#REF!))</definedName>
    <definedName name="Total_CH4_Emiss_t" localSheetId="18">#REF!</definedName>
    <definedName name="Total_CH4_Emiss_t" localSheetId="22">#REF!</definedName>
    <definedName name="Total_CH4_Emiss_t" localSheetId="17">#REF!</definedName>
    <definedName name="Total_CH4_Emiss_t">#REF!</definedName>
    <definedName name="Total_CO2_AC_Emiss_t" localSheetId="18">#REF!</definedName>
    <definedName name="Total_CO2_AC_Emiss_t" localSheetId="22">#REF!</definedName>
    <definedName name="Total_CO2_AC_Emiss_t">#REF!</definedName>
    <definedName name="Total_CO2_Emiss_t" localSheetId="18">#REF!</definedName>
    <definedName name="Total_CO2_Emiss_t" localSheetId="22">#REF!</definedName>
    <definedName name="Total_CO2_Emiss_t">#REF!</definedName>
    <definedName name="Total_CO2_Lube_Emiss_t" localSheetId="18">#REF!</definedName>
    <definedName name="Total_CO2_Lube_Emiss_t" localSheetId="22">#REF!</definedName>
    <definedName name="Total_CO2_Lube_Emiss_t">#REF!</definedName>
    <definedName name="Total_CO2_SCR_Emiss_t" localSheetId="18">#REF!</definedName>
    <definedName name="Total_CO2_SCR_Emiss_t" localSheetId="22">#REF!</definedName>
    <definedName name="Total_CO2_SCR_Emiss_t">#REF!</definedName>
    <definedName name="Total_FC_AC_Emiss_t" localSheetId="18">#REF!</definedName>
    <definedName name="Total_FC_AC_Emiss_t" localSheetId="22">#REF!</definedName>
    <definedName name="Total_FC_AC_Emiss_t">#REF!</definedName>
    <definedName name="Total_N2O_Emiss_t" localSheetId="18">#REF!</definedName>
    <definedName name="Total_N2O_Emiss_t" localSheetId="22">#REF!</definedName>
    <definedName name="Total_N2O_Emiss_t" localSheetId="17">#REF!</definedName>
    <definedName name="Total_N2O_Emiss_t">#REF!</definedName>
    <definedName name="U_CH4_Emiss_t" localSheetId="18">#REF!</definedName>
    <definedName name="U_CH4_Emiss_t" localSheetId="22">#REF!</definedName>
    <definedName name="U_CH4_Emiss_t">#REF!</definedName>
    <definedName name="U_CO2_AC_Emiss_t" localSheetId="18">#REF!</definedName>
    <definedName name="U_CO2_AC_Emiss_t" localSheetId="22">#REF!</definedName>
    <definedName name="U_CO2_AC_Emiss_t">#REF!</definedName>
    <definedName name="U_CO2_Emiss_t" localSheetId="18">#REF!</definedName>
    <definedName name="U_CO2_Emiss_t" localSheetId="22">#REF!</definedName>
    <definedName name="U_CO2_Emiss_t">#REF!</definedName>
    <definedName name="U_CO2_Lube_Emiss_t" localSheetId="18">#REF!</definedName>
    <definedName name="U_CO2_Lube_Emiss_t" localSheetId="22">#REF!</definedName>
    <definedName name="U_CO2_Lube_Emiss_t">#REF!</definedName>
    <definedName name="U_CO2_SCR_Emiss_t" localSheetId="18">#REF!</definedName>
    <definedName name="U_CO2_SCR_Emiss_t" localSheetId="22">#REF!</definedName>
    <definedName name="U_CO2_SCR_Emiss_t">#REF!</definedName>
    <definedName name="U_FC_AC_Emiss_t" localSheetId="18">#REF!</definedName>
    <definedName name="U_FC_AC_Emiss_t" localSheetId="22">#REF!</definedName>
    <definedName name="U_FC_AC_Emiss_t">#REF!</definedName>
    <definedName name="U_FC_Emiss_t" localSheetId="18">#REF!</definedName>
    <definedName name="U_FC_Emiss_t" localSheetId="22">#REF!</definedName>
    <definedName name="U_FC_Emiss_t">#REF!</definedName>
    <definedName name="U_N2O_Emiss_t" localSheetId="18">#REF!</definedName>
    <definedName name="U_N2O_Emiss_t" localSheetId="22">#REF!</definedName>
    <definedName name="U_N2O_Emiss_t">#REF!</definedName>
    <definedName name="U_Share_perc" localSheetId="18">#REF!</definedName>
    <definedName name="U_Share_perc" localSheetId="22">#REF!</definedName>
    <definedName name="U_Share_perc">#REF!</definedName>
    <definedName name="U_Speed_km_per_h" localSheetId="18">#REF!</definedName>
    <definedName name="U_Speed_km_per_h" localSheetId="22">#REF!</definedName>
    <definedName name="U_Speed_km_per_h">#REF!</definedName>
    <definedName name="VSTAK2050">'[1]Basic Information'!$B$9</definedName>
  </definedNames>
  <calcPr calcId="152511" calcMode="autoNoTable"/>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52" i="9" l="1"/>
  <c r="F53" i="9"/>
  <c r="A30" i="9"/>
  <c r="A29" i="9"/>
  <c r="F100" i="6"/>
  <c r="G100" i="6"/>
  <c r="H100" i="6"/>
  <c r="I100" i="6"/>
  <c r="J100" i="6"/>
  <c r="K100" i="6"/>
  <c r="L100" i="6"/>
  <c r="E100" i="6"/>
  <c r="E31" i="6"/>
  <c r="F31" i="6"/>
  <c r="G31" i="6"/>
  <c r="H31" i="6"/>
  <c r="I31" i="6"/>
  <c r="J31" i="6"/>
  <c r="K31" i="6"/>
  <c r="L31" i="6"/>
  <c r="D31" i="6"/>
  <c r="E31" i="5" l="1"/>
  <c r="F109" i="5" l="1"/>
  <c r="G109" i="5"/>
  <c r="H109" i="5"/>
  <c r="I109" i="5"/>
  <c r="J109" i="5"/>
  <c r="K109" i="5"/>
  <c r="L109" i="5"/>
  <c r="F31" i="5" l="1"/>
  <c r="G31" i="5"/>
  <c r="H31" i="5"/>
  <c r="D31" i="5"/>
  <c r="K30" i="5"/>
  <c r="L30" i="5" s="1"/>
  <c r="J30" i="5"/>
  <c r="L29" i="6" l="1"/>
  <c r="K29" i="6"/>
  <c r="J29" i="6"/>
  <c r="I29" i="6"/>
  <c r="H29" i="6"/>
  <c r="G29" i="6"/>
  <c r="F29" i="6"/>
  <c r="E29" i="6"/>
  <c r="D34" i="6"/>
  <c r="D29" i="6"/>
  <c r="F33" i="5"/>
  <c r="G33" i="5"/>
  <c r="H33" i="5"/>
  <c r="I33" i="5"/>
  <c r="J33" i="5"/>
  <c r="K33" i="5"/>
  <c r="L33" i="5"/>
  <c r="E33" i="5"/>
  <c r="L28" i="5"/>
  <c r="K28" i="5"/>
  <c r="J28" i="5"/>
  <c r="F30" i="5"/>
  <c r="G30" i="5"/>
  <c r="H30" i="5"/>
  <c r="I30" i="5"/>
  <c r="E30" i="5"/>
  <c r="F11" i="20"/>
  <c r="F12" i="20"/>
  <c r="G55" i="18" l="1"/>
  <c r="A29" i="6" l="1"/>
  <c r="A47" i="5"/>
  <c r="A33" i="5"/>
  <c r="A30" i="5"/>
  <c r="L4" i="6" l="1"/>
  <c r="K4" i="6"/>
  <c r="J4" i="6"/>
  <c r="I4" i="6"/>
  <c r="H4" i="6"/>
  <c r="G4" i="6"/>
  <c r="F4" i="6"/>
  <c r="E4" i="6"/>
  <c r="L4" i="5"/>
  <c r="K4" i="5"/>
  <c r="J4" i="5"/>
  <c r="I4" i="5"/>
  <c r="H4" i="5"/>
  <c r="H71" i="5" s="1"/>
  <c r="G4" i="5"/>
  <c r="G72" i="5" s="1"/>
  <c r="F4" i="5"/>
  <c r="F71" i="5" s="1"/>
  <c r="F5" i="5"/>
  <c r="G5" i="5"/>
  <c r="H5" i="5"/>
  <c r="I5" i="5"/>
  <c r="J5" i="5"/>
  <c r="K5" i="5"/>
  <c r="L5" i="5"/>
  <c r="D63" i="5"/>
  <c r="E63" i="5"/>
  <c r="F63" i="5"/>
  <c r="G63" i="5"/>
  <c r="H63" i="5"/>
  <c r="D64" i="5"/>
  <c r="E64" i="5"/>
  <c r="F64" i="5"/>
  <c r="G64" i="5"/>
  <c r="H64" i="5"/>
  <c r="D65" i="5"/>
  <c r="E65" i="5"/>
  <c r="F65" i="5"/>
  <c r="G65" i="5"/>
  <c r="H65" i="5"/>
  <c r="D66" i="5"/>
  <c r="E66" i="5"/>
  <c r="F66" i="5"/>
  <c r="G66" i="5"/>
  <c r="H66" i="5"/>
  <c r="D67" i="5"/>
  <c r="E67" i="5"/>
  <c r="F67" i="5"/>
  <c r="G67" i="5"/>
  <c r="H67" i="5"/>
  <c r="D71" i="5"/>
  <c r="E71" i="5"/>
  <c r="G71" i="5"/>
  <c r="D72" i="5"/>
  <c r="E72" i="5"/>
  <c r="F72" i="5"/>
  <c r="D73" i="5"/>
  <c r="E73" i="5"/>
  <c r="F73" i="5"/>
  <c r="F74" i="5" s="1"/>
  <c r="G73" i="5"/>
  <c r="H73" i="5"/>
  <c r="D74" i="5"/>
  <c r="E74" i="5"/>
  <c r="H74" i="5"/>
  <c r="D75" i="5"/>
  <c r="E75" i="5"/>
  <c r="F75" i="5"/>
  <c r="G75" i="5"/>
  <c r="H75" i="5"/>
  <c r="H38" i="6"/>
  <c r="I38" i="6"/>
  <c r="G38" i="6"/>
  <c r="H72" i="5" l="1"/>
  <c r="G74" i="5"/>
  <c r="G89" i="10"/>
  <c r="H89" i="10"/>
  <c r="I89" i="10"/>
  <c r="J89" i="10"/>
  <c r="K89" i="10"/>
  <c r="L89" i="10"/>
  <c r="F89" i="10"/>
  <c r="F112" i="6"/>
  <c r="G112" i="6"/>
  <c r="H112" i="6"/>
  <c r="I112" i="6"/>
  <c r="J112" i="6"/>
  <c r="K112" i="6"/>
  <c r="L112" i="6"/>
  <c r="E112" i="6"/>
  <c r="O49" i="16"/>
  <c r="P49" i="16"/>
  <c r="Q49" i="16"/>
  <c r="R49" i="16"/>
  <c r="S49" i="16"/>
  <c r="T49" i="16"/>
  <c r="U49" i="16"/>
  <c r="V49" i="16"/>
  <c r="G96" i="6"/>
  <c r="E24" i="7"/>
  <c r="E40" i="7"/>
  <c r="E42" i="7"/>
  <c r="E97" i="7"/>
  <c r="D15" i="16"/>
  <c r="F24" i="7"/>
  <c r="F40" i="7"/>
  <c r="F42" i="7"/>
  <c r="F97" i="7"/>
  <c r="E15" i="16"/>
  <c r="G24" i="7"/>
  <c r="G40" i="7"/>
  <c r="G42" i="7"/>
  <c r="G97" i="7"/>
  <c r="F15" i="16"/>
  <c r="H24" i="7"/>
  <c r="H40" i="7"/>
  <c r="H42" i="7"/>
  <c r="H97" i="7"/>
  <c r="G15" i="16"/>
  <c r="I24" i="7"/>
  <c r="I40" i="7"/>
  <c r="I42" i="7"/>
  <c r="I97" i="7"/>
  <c r="H15" i="16"/>
  <c r="J24" i="7"/>
  <c r="J40" i="7"/>
  <c r="J42" i="7"/>
  <c r="J97" i="7"/>
  <c r="I15" i="16"/>
  <c r="K24" i="7"/>
  <c r="K40" i="7"/>
  <c r="K42" i="7"/>
  <c r="K97" i="7"/>
  <c r="J15" i="16"/>
  <c r="L24" i="7"/>
  <c r="L40" i="7"/>
  <c r="L42" i="7"/>
  <c r="L97" i="7"/>
  <c r="K15" i="16"/>
  <c r="E103" i="7"/>
  <c r="F103" i="7"/>
  <c r="G103" i="7"/>
  <c r="H103" i="7"/>
  <c r="I103" i="7"/>
  <c r="J103" i="7"/>
  <c r="K103" i="7"/>
  <c r="L103" i="7"/>
  <c r="E37" i="7"/>
  <c r="E104" i="7"/>
  <c r="D22" i="16"/>
  <c r="F37" i="7"/>
  <c r="F104" i="7"/>
  <c r="E22" i="16"/>
  <c r="G37" i="7"/>
  <c r="G104" i="7"/>
  <c r="F22" i="16"/>
  <c r="H37" i="7"/>
  <c r="H104" i="7"/>
  <c r="G22" i="16"/>
  <c r="I37" i="7"/>
  <c r="I104" i="7"/>
  <c r="H22" i="16"/>
  <c r="J37" i="7"/>
  <c r="J104" i="7"/>
  <c r="I22" i="16"/>
  <c r="K37" i="7"/>
  <c r="K104" i="7"/>
  <c r="J22" i="16"/>
  <c r="L37" i="7"/>
  <c r="L104" i="7"/>
  <c r="K22" i="16"/>
  <c r="E68" i="6"/>
  <c r="E70" i="6" s="1"/>
  <c r="F68" i="6"/>
  <c r="F106" i="6" s="1"/>
  <c r="P43" i="16" s="1"/>
  <c r="G68" i="6"/>
  <c r="H68" i="6"/>
  <c r="D68" i="6"/>
  <c r="O68" i="6" s="1"/>
  <c r="I116" i="5"/>
  <c r="J116" i="5"/>
  <c r="K116" i="5"/>
  <c r="L116" i="5"/>
  <c r="F115" i="5"/>
  <c r="P67" i="16" s="1"/>
  <c r="G115" i="5"/>
  <c r="Q67" i="16" s="1"/>
  <c r="F67" i="16" s="1"/>
  <c r="H115" i="5"/>
  <c r="E115" i="5"/>
  <c r="E2" i="5"/>
  <c r="E80" i="5"/>
  <c r="F2" i="5"/>
  <c r="F80" i="5"/>
  <c r="G2" i="5"/>
  <c r="G80" i="5"/>
  <c r="H2" i="5"/>
  <c r="H80" i="5"/>
  <c r="H76" i="5"/>
  <c r="H116" i="5" s="1"/>
  <c r="R68" i="16" s="1"/>
  <c r="K74" i="5"/>
  <c r="L74" i="5"/>
  <c r="G76" i="5"/>
  <c r="G116" i="5" s="1"/>
  <c r="Q68" i="16" s="1"/>
  <c r="F76" i="5"/>
  <c r="F116" i="5" s="1"/>
  <c r="P68" i="16" s="1"/>
  <c r="E76" i="5"/>
  <c r="E116" i="5" s="1"/>
  <c r="O68" i="16" s="1"/>
  <c r="D76" i="5"/>
  <c r="D41" i="13"/>
  <c r="D42" i="13"/>
  <c r="D44" i="13"/>
  <c r="D45" i="13"/>
  <c r="D47" i="13"/>
  <c r="F47" i="13"/>
  <c r="D48" i="13"/>
  <c r="A75" i="5"/>
  <c r="D11" i="5"/>
  <c r="I2" i="5"/>
  <c r="J2" i="5"/>
  <c r="K2" i="5"/>
  <c r="L2" i="5"/>
  <c r="A73" i="5"/>
  <c r="J21" i="13"/>
  <c r="I22" i="13"/>
  <c r="E11" i="5"/>
  <c r="E12" i="5"/>
  <c r="E25" i="5"/>
  <c r="A62" i="5"/>
  <c r="A45" i="5"/>
  <c r="E45" i="5"/>
  <c r="E49" i="5"/>
  <c r="E111" i="5" s="1"/>
  <c r="A28" i="5"/>
  <c r="D165" i="13"/>
  <c r="D167" i="13"/>
  <c r="D169" i="13"/>
  <c r="D170" i="13"/>
  <c r="D171" i="13"/>
  <c r="F171" i="13"/>
  <c r="D172" i="13"/>
  <c r="C158" i="13"/>
  <c r="A89" i="5"/>
  <c r="C183" i="13"/>
  <c r="C185" i="13"/>
  <c r="C187" i="13"/>
  <c r="U166" i="13"/>
  <c r="U167" i="13"/>
  <c r="U169" i="13"/>
  <c r="C188" i="13"/>
  <c r="C189" i="13"/>
  <c r="A90" i="5"/>
  <c r="A29" i="5"/>
  <c r="D30" i="5"/>
  <c r="D68" i="5" s="1"/>
  <c r="D12" i="5"/>
  <c r="D25" i="5"/>
  <c r="D45" i="5"/>
  <c r="A68" i="5"/>
  <c r="B199" i="13"/>
  <c r="B201" i="13"/>
  <c r="A27" i="5"/>
  <c r="D33" i="5"/>
  <c r="D41" i="5" s="1"/>
  <c r="D44" i="5"/>
  <c r="R105" i="22"/>
  <c r="S105" i="22"/>
  <c r="T105" i="22"/>
  <c r="U105" i="22"/>
  <c r="V105" i="22"/>
  <c r="W105" i="22"/>
  <c r="Q105" i="22"/>
  <c r="R104" i="22"/>
  <c r="S104" i="22"/>
  <c r="T104" i="22"/>
  <c r="U104" i="22"/>
  <c r="V104" i="22"/>
  <c r="W104" i="22"/>
  <c r="Q104" i="22"/>
  <c r="B47" i="14"/>
  <c r="D45" i="14"/>
  <c r="D8" i="9"/>
  <c r="G16" i="9"/>
  <c r="G4" i="9"/>
  <c r="G10" i="9"/>
  <c r="G11" i="9"/>
  <c r="G25" i="9"/>
  <c r="G24" i="9"/>
  <c r="G2" i="9"/>
  <c r="H16" i="9"/>
  <c r="H10" i="9"/>
  <c r="H11" i="9"/>
  <c r="H25" i="9"/>
  <c r="H24" i="9"/>
  <c r="H2" i="9"/>
  <c r="I16" i="9"/>
  <c r="I4" i="9"/>
  <c r="I10" i="9"/>
  <c r="I11" i="9"/>
  <c r="I25" i="9"/>
  <c r="I24" i="9"/>
  <c r="I2" i="9"/>
  <c r="J16" i="9"/>
  <c r="J4" i="9"/>
  <c r="J10" i="9"/>
  <c r="J11" i="9"/>
  <c r="J25" i="9"/>
  <c r="J24" i="9"/>
  <c r="J2" i="9"/>
  <c r="K16" i="9"/>
  <c r="K4" i="9"/>
  <c r="K10" i="9"/>
  <c r="K11" i="9"/>
  <c r="K25" i="9"/>
  <c r="K24" i="9"/>
  <c r="K2" i="9"/>
  <c r="L16" i="9"/>
  <c r="L4" i="9"/>
  <c r="L10" i="9"/>
  <c r="L11" i="9"/>
  <c r="L25" i="9"/>
  <c r="L24" i="9"/>
  <c r="L2" i="9"/>
  <c r="F10" i="9"/>
  <c r="F11" i="9"/>
  <c r="F25" i="9"/>
  <c r="F24" i="9"/>
  <c r="F16" i="9"/>
  <c r="F3" i="9"/>
  <c r="F2" i="9"/>
  <c r="L7" i="22"/>
  <c r="A66" i="9"/>
  <c r="D10" i="9"/>
  <c r="D11" i="9"/>
  <c r="D66" i="9"/>
  <c r="D67" i="9"/>
  <c r="E10" i="9"/>
  <c r="E11" i="9"/>
  <c r="E66" i="9"/>
  <c r="E67" i="9"/>
  <c r="F66" i="9"/>
  <c r="F67" i="9"/>
  <c r="G66" i="9"/>
  <c r="G67" i="9"/>
  <c r="H66" i="9"/>
  <c r="H67" i="9"/>
  <c r="D22" i="9"/>
  <c r="E22" i="9"/>
  <c r="F22" i="9"/>
  <c r="G22" i="9"/>
  <c r="H22" i="9"/>
  <c r="E37" i="14"/>
  <c r="A56" i="9"/>
  <c r="D56" i="9"/>
  <c r="D57" i="9"/>
  <c r="E5" i="9"/>
  <c r="E56" i="9"/>
  <c r="E57" i="9"/>
  <c r="F5" i="9"/>
  <c r="F56" i="9"/>
  <c r="F57" i="9"/>
  <c r="G5" i="9"/>
  <c r="G56" i="9"/>
  <c r="G57" i="9"/>
  <c r="H5" i="9"/>
  <c r="H56" i="9"/>
  <c r="H57" i="9"/>
  <c r="F58" i="9"/>
  <c r="H58" i="9"/>
  <c r="B65" i="14"/>
  <c r="A63" i="9"/>
  <c r="D3" i="9"/>
  <c r="D62" i="9"/>
  <c r="D25" i="9"/>
  <c r="D39" i="9"/>
  <c r="D40" i="9"/>
  <c r="E3" i="9"/>
  <c r="E62" i="9"/>
  <c r="E39" i="9"/>
  <c r="E40" i="9"/>
  <c r="E41" i="9" s="1"/>
  <c r="E80" i="9" s="1"/>
  <c r="E78" i="9" s="1"/>
  <c r="E72" i="9" s="1"/>
  <c r="F61" i="9"/>
  <c r="F62" i="9"/>
  <c r="B140" i="14"/>
  <c r="C140" i="14"/>
  <c r="C60" i="18"/>
  <c r="A28" i="10" s="1"/>
  <c r="D30" i="9"/>
  <c r="H5" i="20"/>
  <c r="G61" i="9"/>
  <c r="G62" i="9"/>
  <c r="I5" i="20"/>
  <c r="H61" i="9"/>
  <c r="H62" i="9"/>
  <c r="J5" i="20"/>
  <c r="A52" i="9"/>
  <c r="D52" i="9"/>
  <c r="A53" i="9"/>
  <c r="D53" i="9"/>
  <c r="D51" i="9"/>
  <c r="E52" i="9"/>
  <c r="E53" i="9"/>
  <c r="E51" i="9"/>
  <c r="G52" i="9"/>
  <c r="G53" i="9"/>
  <c r="G51" i="9"/>
  <c r="H52" i="9"/>
  <c r="H53" i="9"/>
  <c r="H51" i="9"/>
  <c r="D43" i="9"/>
  <c r="E44" i="9"/>
  <c r="F44" i="9"/>
  <c r="G44" i="9"/>
  <c r="H44" i="9"/>
  <c r="D44" i="9"/>
  <c r="D47" i="6"/>
  <c r="A49" i="5"/>
  <c r="A51" i="5"/>
  <c r="L51" i="5"/>
  <c r="M51" i="5"/>
  <c r="M2" i="26"/>
  <c r="Q2" i="26"/>
  <c r="R3" i="26"/>
  <c r="R2" i="26"/>
  <c r="B55" i="14"/>
  <c r="B56" i="14"/>
  <c r="B58" i="14"/>
  <c r="B59" i="14"/>
  <c r="A60" i="9"/>
  <c r="E60" i="9"/>
  <c r="F60" i="9"/>
  <c r="G60" i="9"/>
  <c r="H60" i="9"/>
  <c r="I66" i="9"/>
  <c r="I67" i="9"/>
  <c r="J66" i="9"/>
  <c r="J67" i="9"/>
  <c r="K66" i="9"/>
  <c r="K67" i="9"/>
  <c r="L66" i="9"/>
  <c r="L67" i="9"/>
  <c r="D60" i="9"/>
  <c r="D41" i="9"/>
  <c r="E26" i="9"/>
  <c r="F26" i="9"/>
  <c r="G26" i="9"/>
  <c r="H26" i="9"/>
  <c r="F27" i="9"/>
  <c r="G27" i="9"/>
  <c r="H27" i="9"/>
  <c r="D26" i="9"/>
  <c r="E23" i="9"/>
  <c r="E14" i="9"/>
  <c r="F14" i="9"/>
  <c r="G14" i="9"/>
  <c r="H14" i="9"/>
  <c r="D14" i="9"/>
  <c r="A68" i="6"/>
  <c r="E3" i="6"/>
  <c r="E60" i="18"/>
  <c r="A22" i="9"/>
  <c r="A25" i="9"/>
  <c r="A24" i="9"/>
  <c r="A27" i="9"/>
  <c r="E79" i="5"/>
  <c r="F79" i="5"/>
  <c r="G79" i="5"/>
  <c r="G3" i="6"/>
  <c r="H3" i="6"/>
  <c r="H70" i="6"/>
  <c r="F3" i="6"/>
  <c r="A72" i="6"/>
  <c r="A73" i="6" s="1"/>
  <c r="G70" i="6"/>
  <c r="D70" i="6"/>
  <c r="F70" i="6"/>
  <c r="N73" i="5"/>
  <c r="O73" i="5" s="1"/>
  <c r="A77" i="5"/>
  <c r="B77" i="5"/>
  <c r="C192" i="13"/>
  <c r="A83" i="6"/>
  <c r="A82" i="6"/>
  <c r="A81" i="6"/>
  <c r="A57" i="6"/>
  <c r="A27" i="6"/>
  <c r="A28" i="6"/>
  <c r="N161" i="13"/>
  <c r="O161" i="13"/>
  <c r="N157" i="13"/>
  <c r="E165" i="13"/>
  <c r="E167" i="13"/>
  <c r="E169" i="13"/>
  <c r="E171" i="13"/>
  <c r="E172" i="13"/>
  <c r="N159" i="13"/>
  <c r="E108" i="5"/>
  <c r="M77" i="5"/>
  <c r="E77" i="5" s="1"/>
  <c r="E78" i="5" s="1"/>
  <c r="E105" i="5"/>
  <c r="O57" i="16" s="1"/>
  <c r="D57" i="16" s="1"/>
  <c r="E104" i="5"/>
  <c r="O56" i="16" s="1"/>
  <c r="E106" i="5"/>
  <c r="O58" i="16" s="1"/>
  <c r="E107" i="5"/>
  <c r="E90" i="5"/>
  <c r="E89" i="5"/>
  <c r="E110" i="5"/>
  <c r="E62" i="5"/>
  <c r="D78" i="27"/>
  <c r="E78" i="27"/>
  <c r="F78" i="27"/>
  <c r="G78" i="27"/>
  <c r="H78" i="27"/>
  <c r="I78" i="27"/>
  <c r="J78" i="27"/>
  <c r="K78" i="27"/>
  <c r="D69" i="27"/>
  <c r="D70" i="27"/>
  <c r="D71" i="27"/>
  <c r="D79" i="27"/>
  <c r="E69" i="27"/>
  <c r="E70" i="27"/>
  <c r="E71" i="27"/>
  <c r="E79" i="27"/>
  <c r="F69" i="27"/>
  <c r="F70" i="27"/>
  <c r="F71" i="27"/>
  <c r="F79" i="27"/>
  <c r="G69" i="27"/>
  <c r="G70" i="27"/>
  <c r="G71" i="27"/>
  <c r="G79" i="27"/>
  <c r="H69" i="27"/>
  <c r="H70" i="27"/>
  <c r="H71" i="27"/>
  <c r="H79" i="27"/>
  <c r="I69" i="27"/>
  <c r="I70" i="27"/>
  <c r="I71" i="27"/>
  <c r="I79" i="27"/>
  <c r="J69" i="27"/>
  <c r="J70" i="27"/>
  <c r="J71" i="27"/>
  <c r="J79" i="27"/>
  <c r="K69" i="27"/>
  <c r="K70" i="27"/>
  <c r="K71" i="27"/>
  <c r="K79" i="27"/>
  <c r="C69" i="27"/>
  <c r="C70" i="27"/>
  <c r="C71" i="27"/>
  <c r="C78" i="27"/>
  <c r="C79" i="27"/>
  <c r="D88" i="27"/>
  <c r="D89" i="27"/>
  <c r="D90" i="27"/>
  <c r="D95" i="27"/>
  <c r="D96" i="27"/>
  <c r="E88" i="27"/>
  <c r="E89" i="27"/>
  <c r="E90" i="27"/>
  <c r="E95" i="27"/>
  <c r="E96" i="27"/>
  <c r="F88" i="27"/>
  <c r="F89" i="27"/>
  <c r="F90" i="27"/>
  <c r="F95" i="27"/>
  <c r="F96" i="27"/>
  <c r="G88" i="27"/>
  <c r="G89" i="27"/>
  <c r="G90" i="27"/>
  <c r="G95" i="27"/>
  <c r="G96" i="27"/>
  <c r="H88" i="27"/>
  <c r="H89" i="27"/>
  <c r="H90" i="27"/>
  <c r="H95" i="27"/>
  <c r="H96" i="27"/>
  <c r="I88" i="27"/>
  <c r="I89" i="27"/>
  <c r="I90" i="27"/>
  <c r="I95" i="27"/>
  <c r="I96" i="27"/>
  <c r="J88" i="27"/>
  <c r="J89" i="27"/>
  <c r="J90" i="27"/>
  <c r="J95" i="27"/>
  <c r="J96" i="27"/>
  <c r="K88" i="27"/>
  <c r="K89" i="27"/>
  <c r="K90" i="27"/>
  <c r="K95" i="27"/>
  <c r="K96" i="27"/>
  <c r="L96" i="27"/>
  <c r="M96" i="27"/>
  <c r="N96" i="27"/>
  <c r="C88" i="27"/>
  <c r="C89" i="27"/>
  <c r="C90" i="27"/>
  <c r="C95" i="27"/>
  <c r="C96" i="27"/>
  <c r="D107" i="27"/>
  <c r="D108" i="27"/>
  <c r="D109" i="27"/>
  <c r="D111" i="27"/>
  <c r="D116" i="27"/>
  <c r="E107" i="27"/>
  <c r="E108" i="27"/>
  <c r="E109" i="27"/>
  <c r="E111" i="27"/>
  <c r="E116" i="27"/>
  <c r="F107" i="27"/>
  <c r="F108" i="27"/>
  <c r="F109" i="27"/>
  <c r="F111" i="27"/>
  <c r="F116" i="27"/>
  <c r="G107" i="27"/>
  <c r="G108" i="27"/>
  <c r="G109" i="27"/>
  <c r="G111" i="27"/>
  <c r="G116" i="27"/>
  <c r="H107" i="27"/>
  <c r="H108" i="27"/>
  <c r="H109" i="27"/>
  <c r="H111" i="27"/>
  <c r="H116" i="27"/>
  <c r="I107" i="27"/>
  <c r="I108" i="27"/>
  <c r="I109" i="27"/>
  <c r="I111" i="27"/>
  <c r="I116" i="27"/>
  <c r="J107" i="27"/>
  <c r="J108" i="27"/>
  <c r="J109" i="27"/>
  <c r="J111" i="27"/>
  <c r="J116" i="27"/>
  <c r="K107" i="27"/>
  <c r="K108" i="27"/>
  <c r="K109" i="27"/>
  <c r="K111" i="27"/>
  <c r="K116" i="27"/>
  <c r="C107" i="27"/>
  <c r="C108" i="27"/>
  <c r="C109" i="27"/>
  <c r="C111" i="27"/>
  <c r="C116" i="27"/>
  <c r="D38" i="27"/>
  <c r="E38" i="27"/>
  <c r="F38" i="27"/>
  <c r="G38" i="27"/>
  <c r="H38" i="27"/>
  <c r="I38" i="27"/>
  <c r="J38" i="27"/>
  <c r="K38" i="27"/>
  <c r="C38" i="27"/>
  <c r="D24" i="27"/>
  <c r="E24" i="27"/>
  <c r="F24" i="27"/>
  <c r="G24" i="27"/>
  <c r="H24" i="27"/>
  <c r="I24" i="27"/>
  <c r="J24" i="27"/>
  <c r="K24" i="27"/>
  <c r="C24" i="27"/>
  <c r="D10" i="27"/>
  <c r="E10" i="27"/>
  <c r="F10" i="27"/>
  <c r="G10" i="27"/>
  <c r="H10" i="27"/>
  <c r="I10" i="27"/>
  <c r="J10" i="27"/>
  <c r="K10" i="27"/>
  <c r="C10" i="27"/>
  <c r="K14" i="27"/>
  <c r="J14" i="27"/>
  <c r="I14" i="27"/>
  <c r="H14" i="27"/>
  <c r="G14" i="27"/>
  <c r="F14" i="27"/>
  <c r="E14" i="27"/>
  <c r="D14" i="27"/>
  <c r="D42" i="24"/>
  <c r="E42" i="24"/>
  <c r="F42" i="24"/>
  <c r="G42" i="24"/>
  <c r="H42" i="24"/>
  <c r="I42" i="24"/>
  <c r="J42" i="24"/>
  <c r="K42" i="24"/>
  <c r="C42" i="24"/>
  <c r="D24" i="24"/>
  <c r="D25" i="24"/>
  <c r="E24" i="24"/>
  <c r="E25" i="24"/>
  <c r="F24" i="24"/>
  <c r="F25" i="24"/>
  <c r="G24" i="24"/>
  <c r="G25" i="24"/>
  <c r="H24" i="24"/>
  <c r="H25" i="24"/>
  <c r="I24" i="24"/>
  <c r="I25" i="24"/>
  <c r="J24" i="24"/>
  <c r="J25" i="24"/>
  <c r="K24" i="24"/>
  <c r="K25" i="24"/>
  <c r="C24" i="24"/>
  <c r="C25" i="24"/>
  <c r="L25" i="24"/>
  <c r="A88" i="5"/>
  <c r="N177" i="13"/>
  <c r="T170" i="13"/>
  <c r="F65" i="13"/>
  <c r="F66" i="13"/>
  <c r="E46" i="5"/>
  <c r="N31" i="5" s="1"/>
  <c r="N30" i="5" s="1"/>
  <c r="A55" i="5"/>
  <c r="D62" i="5"/>
  <c r="A56" i="5" s="1"/>
  <c r="A57" i="5"/>
  <c r="A59" i="5"/>
  <c r="A58" i="5"/>
  <c r="A26" i="5"/>
  <c r="A23" i="5"/>
  <c r="A22" i="5"/>
  <c r="C92" i="13"/>
  <c r="C95" i="13"/>
  <c r="C101" i="13"/>
  <c r="O84" i="13"/>
  <c r="E26" i="5"/>
  <c r="E8" i="5"/>
  <c r="F11" i="5"/>
  <c r="F12" i="5"/>
  <c r="F25" i="5"/>
  <c r="F26" i="5"/>
  <c r="F8" i="5"/>
  <c r="G11" i="5"/>
  <c r="G12" i="5"/>
  <c r="G25" i="5"/>
  <c r="G26" i="5"/>
  <c r="G8" i="5"/>
  <c r="H11" i="5"/>
  <c r="H12" i="5"/>
  <c r="H25" i="5"/>
  <c r="H26" i="5"/>
  <c r="H8" i="5"/>
  <c r="I11" i="5"/>
  <c r="I12" i="5"/>
  <c r="I25" i="5"/>
  <c r="I26" i="5"/>
  <c r="I8" i="5"/>
  <c r="J11" i="5"/>
  <c r="J12" i="5"/>
  <c r="J25" i="5"/>
  <c r="J26" i="5"/>
  <c r="J8" i="5"/>
  <c r="K11" i="5"/>
  <c r="K12" i="5"/>
  <c r="K25" i="5"/>
  <c r="K26" i="5"/>
  <c r="K8" i="5"/>
  <c r="L11" i="5"/>
  <c r="L12" i="5"/>
  <c r="L25" i="5"/>
  <c r="L26" i="5"/>
  <c r="L8" i="5"/>
  <c r="E7" i="5"/>
  <c r="F7" i="5"/>
  <c r="G7" i="5"/>
  <c r="H7" i="5"/>
  <c r="I7" i="5"/>
  <c r="J7" i="5"/>
  <c r="K7" i="5"/>
  <c r="L7" i="5"/>
  <c r="D26" i="5"/>
  <c r="D8" i="5"/>
  <c r="D7" i="5"/>
  <c r="P88" i="13"/>
  <c r="P92" i="13"/>
  <c r="P95" i="13"/>
  <c r="Q103" i="13"/>
  <c r="P98" i="13"/>
  <c r="P100" i="13"/>
  <c r="P101" i="13"/>
  <c r="P102" i="13"/>
  <c r="O87" i="13"/>
  <c r="O90" i="13"/>
  <c r="O93" i="13"/>
  <c r="O100" i="13"/>
  <c r="O101" i="13"/>
  <c r="O102" i="13"/>
  <c r="C81" i="13"/>
  <c r="O97" i="13"/>
  <c r="F87" i="13"/>
  <c r="H87" i="13"/>
  <c r="I87" i="13"/>
  <c r="K87" i="13"/>
  <c r="L87" i="13"/>
  <c r="L82" i="13"/>
  <c r="D89" i="13"/>
  <c r="D87" i="13"/>
  <c r="D88" i="13"/>
  <c r="F88" i="13"/>
  <c r="H88" i="13"/>
  <c r="I88" i="13"/>
  <c r="K88" i="13"/>
  <c r="L88" i="13"/>
  <c r="B71" i="13"/>
  <c r="B76" i="13"/>
  <c r="C71" i="13"/>
  <c r="L3" i="6"/>
  <c r="M5" i="6"/>
  <c r="M4" i="6"/>
  <c r="I3" i="6"/>
  <c r="J3" i="6"/>
  <c r="K3" i="6"/>
  <c r="O4" i="6"/>
  <c r="M4" i="5"/>
  <c r="E4" i="5"/>
  <c r="N4" i="5"/>
  <c r="N3" i="5"/>
  <c r="F92" i="13"/>
  <c r="H92" i="13"/>
  <c r="I92" i="13"/>
  <c r="K92" i="13"/>
  <c r="L92" i="13"/>
  <c r="F95" i="13"/>
  <c r="H95" i="13"/>
  <c r="I95" i="13"/>
  <c r="K95" i="13"/>
  <c r="L95" i="13"/>
  <c r="L98" i="13"/>
  <c r="C93" i="13"/>
  <c r="F93" i="13"/>
  <c r="H93" i="13"/>
  <c r="I93" i="13"/>
  <c r="K93" i="13"/>
  <c r="L93" i="13"/>
  <c r="C94" i="13"/>
  <c r="F94" i="13"/>
  <c r="H94" i="13"/>
  <c r="I94" i="13"/>
  <c r="K94" i="13"/>
  <c r="L94" i="13"/>
  <c r="C91" i="13"/>
  <c r="F91" i="13"/>
  <c r="H91" i="13"/>
  <c r="I91" i="13"/>
  <c r="K91" i="13"/>
  <c r="L91" i="13"/>
  <c r="L100" i="13"/>
  <c r="C90" i="13"/>
  <c r="F90" i="13"/>
  <c r="H90" i="13"/>
  <c r="I90" i="13"/>
  <c r="K90" i="13"/>
  <c r="L90" i="13"/>
  <c r="L99" i="13"/>
  <c r="F89" i="13"/>
  <c r="H89" i="13"/>
  <c r="I89" i="13"/>
  <c r="K89" i="13"/>
  <c r="M89" i="13"/>
  <c r="N89" i="13"/>
  <c r="M90" i="13"/>
  <c r="N90" i="13"/>
  <c r="M91" i="13"/>
  <c r="N91" i="13"/>
  <c r="M92" i="13"/>
  <c r="N92" i="13"/>
  <c r="M93" i="13"/>
  <c r="N93" i="13"/>
  <c r="M94" i="13"/>
  <c r="N94" i="13"/>
  <c r="M95" i="13"/>
  <c r="N95" i="13"/>
  <c r="C96" i="13"/>
  <c r="F96" i="13"/>
  <c r="H96" i="13"/>
  <c r="I96" i="13"/>
  <c r="K96" i="13"/>
  <c r="M96" i="13"/>
  <c r="N96" i="13"/>
  <c r="C97" i="13"/>
  <c r="F97" i="13"/>
  <c r="H97" i="13"/>
  <c r="I97" i="13"/>
  <c r="K97" i="13"/>
  <c r="M97" i="13"/>
  <c r="N97" i="13"/>
  <c r="M87" i="13"/>
  <c r="N87" i="13"/>
  <c r="L89" i="13"/>
  <c r="L96" i="13"/>
  <c r="L97" i="13"/>
  <c r="E73" i="13"/>
  <c r="F73" i="13"/>
  <c r="N35" i="25"/>
  <c r="O29" i="25"/>
  <c r="O31" i="25"/>
  <c r="P29" i="25"/>
  <c r="P31" i="25"/>
  <c r="Q29" i="25"/>
  <c r="Q31" i="25"/>
  <c r="R29" i="25"/>
  <c r="R31" i="25"/>
  <c r="S29" i="25"/>
  <c r="S31" i="25"/>
  <c r="T29" i="25"/>
  <c r="T31" i="25"/>
  <c r="U29" i="25"/>
  <c r="U31" i="25"/>
  <c r="V29" i="25"/>
  <c r="V31" i="25"/>
  <c r="N29" i="25"/>
  <c r="N31" i="25"/>
  <c r="B178" i="13"/>
  <c r="K69" i="13"/>
  <c r="L69" i="13"/>
  <c r="D30" i="13"/>
  <c r="D33" i="13"/>
  <c r="D8" i="13"/>
  <c r="B12" i="13"/>
  <c r="D12" i="13"/>
  <c r="D13" i="13"/>
  <c r="D14" i="13"/>
  <c r="B8" i="13"/>
  <c r="B13" i="13"/>
  <c r="F8" i="13"/>
  <c r="F12" i="13"/>
  <c r="F13" i="13"/>
  <c r="F15" i="13"/>
  <c r="I16" i="13"/>
  <c r="I17" i="13"/>
  <c r="D213" i="13"/>
  <c r="F152" i="13"/>
  <c r="B150" i="13"/>
  <c r="F154" i="13"/>
  <c r="B152" i="13"/>
  <c r="F153" i="13"/>
  <c r="B154" i="13"/>
  <c r="D206" i="13"/>
  <c r="D208" i="13"/>
  <c r="B198" i="13"/>
  <c r="D198" i="13"/>
  <c r="D204" i="13"/>
  <c r="D205" i="13"/>
  <c r="D200" i="13"/>
  <c r="D202" i="13"/>
  <c r="B78" i="13"/>
  <c r="C77" i="13"/>
  <c r="C75" i="13"/>
  <c r="D72" i="13"/>
  <c r="L10" i="21"/>
  <c r="L11" i="21"/>
  <c r="L142" i="21"/>
  <c r="K10" i="21"/>
  <c r="K11" i="21"/>
  <c r="K142" i="21"/>
  <c r="J10" i="21"/>
  <c r="J11" i="21"/>
  <c r="J142" i="21"/>
  <c r="I10" i="21"/>
  <c r="I11" i="21"/>
  <c r="I142" i="21"/>
  <c r="H10" i="21"/>
  <c r="H11" i="21"/>
  <c r="H142" i="21"/>
  <c r="G10" i="21"/>
  <c r="G11" i="21"/>
  <c r="G142" i="21"/>
  <c r="F10" i="21"/>
  <c r="F11" i="21"/>
  <c r="F142" i="21"/>
  <c r="E10" i="21"/>
  <c r="E11" i="21"/>
  <c r="E142" i="21"/>
  <c r="D10" i="21"/>
  <c r="D11" i="21"/>
  <c r="D142" i="21"/>
  <c r="A93" i="21"/>
  <c r="L93" i="21"/>
  <c r="L119" i="21"/>
  <c r="K93" i="21"/>
  <c r="K119" i="21"/>
  <c r="J93" i="21"/>
  <c r="J119" i="21"/>
  <c r="I93" i="21"/>
  <c r="I119" i="21"/>
  <c r="H93" i="21"/>
  <c r="H119" i="21"/>
  <c r="G93" i="21"/>
  <c r="G119" i="21"/>
  <c r="F93" i="21"/>
  <c r="F119" i="21"/>
  <c r="E93" i="21"/>
  <c r="E119" i="21"/>
  <c r="L118" i="21"/>
  <c r="K118" i="21"/>
  <c r="J118" i="21"/>
  <c r="I118" i="21"/>
  <c r="H118" i="21"/>
  <c r="G118" i="21"/>
  <c r="F118" i="21"/>
  <c r="E118" i="21"/>
  <c r="D118" i="21"/>
  <c r="L80" i="21"/>
  <c r="A81" i="21"/>
  <c r="L81" i="21"/>
  <c r="A83" i="21"/>
  <c r="L83" i="21"/>
  <c r="L117" i="21"/>
  <c r="K80" i="21"/>
  <c r="K81" i="21"/>
  <c r="K83" i="21"/>
  <c r="K117" i="21"/>
  <c r="J80" i="21"/>
  <c r="J81" i="21"/>
  <c r="J83" i="21"/>
  <c r="J117" i="21"/>
  <c r="I80" i="21"/>
  <c r="I81" i="21"/>
  <c r="I83" i="21"/>
  <c r="I117" i="21"/>
  <c r="H80" i="21"/>
  <c r="H81" i="21"/>
  <c r="H83" i="21"/>
  <c r="H117" i="21"/>
  <c r="G80" i="21"/>
  <c r="G81" i="21"/>
  <c r="G83" i="21"/>
  <c r="G117" i="21"/>
  <c r="F80" i="21"/>
  <c r="F81" i="21"/>
  <c r="F83" i="21"/>
  <c r="F117" i="21"/>
  <c r="E80" i="21"/>
  <c r="E81" i="21"/>
  <c r="E83" i="21"/>
  <c r="E117" i="21"/>
  <c r="A61" i="21"/>
  <c r="A27" i="21"/>
  <c r="A28" i="21"/>
  <c r="A29" i="21"/>
  <c r="D29" i="21"/>
  <c r="E27" i="21"/>
  <c r="D27" i="21"/>
  <c r="E28" i="21"/>
  <c r="E29" i="21"/>
  <c r="A26" i="21"/>
  <c r="A32" i="21"/>
  <c r="D32" i="21"/>
  <c r="E32" i="21"/>
  <c r="E30" i="21"/>
  <c r="E36" i="21"/>
  <c r="E38" i="21"/>
  <c r="D30" i="21"/>
  <c r="D36" i="21"/>
  <c r="D38" i="21"/>
  <c r="F27" i="21"/>
  <c r="F28" i="21"/>
  <c r="F29" i="21"/>
  <c r="F32" i="21"/>
  <c r="F30" i="21"/>
  <c r="F36" i="21"/>
  <c r="F38" i="21"/>
  <c r="G27" i="21"/>
  <c r="G28" i="21"/>
  <c r="G29" i="21"/>
  <c r="G30" i="21"/>
  <c r="G36" i="21"/>
  <c r="G38" i="21"/>
  <c r="A38" i="21"/>
  <c r="A74" i="21"/>
  <c r="A72" i="21"/>
  <c r="E4" i="21"/>
  <c r="E72" i="21"/>
  <c r="F4" i="21"/>
  <c r="F72" i="21"/>
  <c r="G4" i="21"/>
  <c r="G72" i="21"/>
  <c r="M74" i="21"/>
  <c r="E74" i="21"/>
  <c r="E75" i="21"/>
  <c r="E76" i="21"/>
  <c r="E77" i="21"/>
  <c r="E115" i="21"/>
  <c r="F74" i="21"/>
  <c r="F75" i="21"/>
  <c r="F76" i="21"/>
  <c r="F77" i="21"/>
  <c r="F115" i="21"/>
  <c r="G74" i="21"/>
  <c r="G75" i="21"/>
  <c r="G76" i="21"/>
  <c r="G77" i="21"/>
  <c r="G115" i="21"/>
  <c r="H27" i="21"/>
  <c r="H28" i="21"/>
  <c r="H29" i="21"/>
  <c r="H30" i="21"/>
  <c r="H36" i="21"/>
  <c r="H38" i="21"/>
  <c r="H115" i="21"/>
  <c r="I27" i="21"/>
  <c r="I28" i="21"/>
  <c r="I29" i="21"/>
  <c r="I30" i="21"/>
  <c r="I36" i="21"/>
  <c r="I38" i="21"/>
  <c r="I115" i="21"/>
  <c r="J27" i="21"/>
  <c r="J28" i="21"/>
  <c r="J29" i="21"/>
  <c r="J30" i="21"/>
  <c r="J36" i="21"/>
  <c r="J38" i="21"/>
  <c r="J115" i="21"/>
  <c r="K27" i="21"/>
  <c r="K28" i="21"/>
  <c r="K29" i="21"/>
  <c r="K30" i="21"/>
  <c r="K36" i="21"/>
  <c r="K38" i="21"/>
  <c r="K115" i="21"/>
  <c r="L27" i="21"/>
  <c r="L28" i="21"/>
  <c r="L29" i="21"/>
  <c r="L30" i="21"/>
  <c r="L36" i="21"/>
  <c r="L38" i="21"/>
  <c r="L115" i="21"/>
  <c r="M115" i="21"/>
  <c r="L24" i="21"/>
  <c r="L42" i="21"/>
  <c r="A86" i="21"/>
  <c r="A87" i="21"/>
  <c r="L87" i="21"/>
  <c r="L86" i="21"/>
  <c r="L107" i="21"/>
  <c r="L114" i="21"/>
  <c r="K24" i="21"/>
  <c r="K42" i="21"/>
  <c r="K87" i="21"/>
  <c r="K86" i="21"/>
  <c r="K107" i="21"/>
  <c r="K114" i="21"/>
  <c r="J24" i="21"/>
  <c r="J42" i="21"/>
  <c r="J87" i="21"/>
  <c r="J86" i="21"/>
  <c r="J107" i="21"/>
  <c r="J114" i="21"/>
  <c r="I24" i="21"/>
  <c r="I42" i="21"/>
  <c r="I87" i="21"/>
  <c r="I86" i="21"/>
  <c r="I107" i="21"/>
  <c r="I114" i="21"/>
  <c r="H24" i="21"/>
  <c r="H42" i="21"/>
  <c r="H87" i="21"/>
  <c r="H86" i="21"/>
  <c r="H107" i="21"/>
  <c r="H114" i="21"/>
  <c r="G24" i="21"/>
  <c r="G42" i="21"/>
  <c r="G87" i="21"/>
  <c r="G86" i="21"/>
  <c r="G107" i="21"/>
  <c r="G114" i="21"/>
  <c r="F24" i="21"/>
  <c r="F42" i="21"/>
  <c r="F87" i="21"/>
  <c r="F86" i="21"/>
  <c r="F107" i="21"/>
  <c r="F114" i="21"/>
  <c r="E24" i="21"/>
  <c r="E42" i="21"/>
  <c r="E87" i="21"/>
  <c r="E86" i="21"/>
  <c r="E107" i="21"/>
  <c r="E114" i="21"/>
  <c r="A73" i="21"/>
  <c r="L4" i="21"/>
  <c r="L73" i="21"/>
  <c r="L113" i="21"/>
  <c r="K4" i="21"/>
  <c r="K73" i="21"/>
  <c r="K113" i="21"/>
  <c r="J4" i="21"/>
  <c r="J73" i="21"/>
  <c r="J113" i="21"/>
  <c r="I4" i="21"/>
  <c r="I73" i="21"/>
  <c r="I113" i="21"/>
  <c r="H4" i="21"/>
  <c r="H73" i="21"/>
  <c r="H113" i="21"/>
  <c r="G73" i="21"/>
  <c r="G113" i="21"/>
  <c r="F73" i="21"/>
  <c r="F113" i="21"/>
  <c r="E73" i="21"/>
  <c r="E113" i="21"/>
  <c r="L72" i="21"/>
  <c r="L112" i="21"/>
  <c r="K72" i="21"/>
  <c r="K112" i="21"/>
  <c r="J72" i="21"/>
  <c r="J112" i="21"/>
  <c r="I72" i="21"/>
  <c r="I112" i="21"/>
  <c r="H72" i="21"/>
  <c r="H112" i="21"/>
  <c r="G112" i="21"/>
  <c r="F112" i="21"/>
  <c r="E112" i="21"/>
  <c r="A71" i="21"/>
  <c r="L71" i="21"/>
  <c r="L111" i="21"/>
  <c r="K71" i="21"/>
  <c r="K111" i="21"/>
  <c r="J71" i="21"/>
  <c r="J111" i="21"/>
  <c r="I71" i="21"/>
  <c r="I111" i="21"/>
  <c r="H71" i="21"/>
  <c r="H111" i="21"/>
  <c r="G71" i="21"/>
  <c r="G111" i="21"/>
  <c r="F71" i="21"/>
  <c r="F111" i="21"/>
  <c r="E71" i="21"/>
  <c r="E111" i="21"/>
  <c r="A70" i="21"/>
  <c r="L70" i="21"/>
  <c r="L110" i="21"/>
  <c r="K70" i="21"/>
  <c r="K110" i="21"/>
  <c r="J70" i="21"/>
  <c r="J110" i="21"/>
  <c r="I70" i="21"/>
  <c r="I110" i="21"/>
  <c r="H70" i="21"/>
  <c r="H110" i="21"/>
  <c r="G70" i="21"/>
  <c r="G110" i="21"/>
  <c r="F70" i="21"/>
  <c r="F110" i="21"/>
  <c r="E70" i="21"/>
  <c r="E110" i="21"/>
  <c r="E109" i="21"/>
  <c r="F109" i="21"/>
  <c r="G109" i="21"/>
  <c r="H109" i="21"/>
  <c r="I109" i="21"/>
  <c r="J109" i="21"/>
  <c r="K109" i="21"/>
  <c r="L109" i="21"/>
  <c r="M109" i="21"/>
  <c r="A44" i="21"/>
  <c r="A46" i="21"/>
  <c r="L44" i="21"/>
  <c r="L48" i="21"/>
  <c r="L108" i="21"/>
  <c r="K44" i="21"/>
  <c r="K48" i="21"/>
  <c r="K108" i="21"/>
  <c r="J44" i="21"/>
  <c r="J48" i="21"/>
  <c r="J108" i="21"/>
  <c r="I44" i="21"/>
  <c r="I48" i="21"/>
  <c r="I108" i="21"/>
  <c r="H44" i="21"/>
  <c r="H48" i="21"/>
  <c r="H108" i="21"/>
  <c r="G44" i="21"/>
  <c r="G48" i="21"/>
  <c r="G108" i="21"/>
  <c r="F44" i="21"/>
  <c r="F48" i="21"/>
  <c r="F108" i="21"/>
  <c r="E44" i="21"/>
  <c r="E48" i="21"/>
  <c r="E108" i="21"/>
  <c r="L62" i="21"/>
  <c r="L101" i="21"/>
  <c r="L63" i="21"/>
  <c r="L102" i="21"/>
  <c r="L64" i="21"/>
  <c r="L103" i="21"/>
  <c r="L65" i="21"/>
  <c r="L104" i="21"/>
  <c r="L66" i="21"/>
  <c r="L105" i="21"/>
  <c r="L106" i="21"/>
  <c r="K62" i="21"/>
  <c r="K101" i="21"/>
  <c r="K63" i="21"/>
  <c r="K102" i="21"/>
  <c r="K64" i="21"/>
  <c r="K103" i="21"/>
  <c r="K65" i="21"/>
  <c r="K104" i="21"/>
  <c r="K66" i="21"/>
  <c r="K105" i="21"/>
  <c r="K106" i="21"/>
  <c r="J62" i="21"/>
  <c r="J101" i="21"/>
  <c r="J63" i="21"/>
  <c r="J102" i="21"/>
  <c r="J64" i="21"/>
  <c r="J103" i="21"/>
  <c r="J65" i="21"/>
  <c r="J104" i="21"/>
  <c r="J66" i="21"/>
  <c r="J105" i="21"/>
  <c r="J106" i="21"/>
  <c r="I62" i="21"/>
  <c r="I101" i="21"/>
  <c r="I63" i="21"/>
  <c r="I102" i="21"/>
  <c r="I64" i="21"/>
  <c r="I103" i="21"/>
  <c r="I65" i="21"/>
  <c r="I104" i="21"/>
  <c r="I66" i="21"/>
  <c r="I105" i="21"/>
  <c r="I106" i="21"/>
  <c r="H62" i="21"/>
  <c r="H101" i="21"/>
  <c r="H63" i="21"/>
  <c r="H102" i="21"/>
  <c r="H64" i="21"/>
  <c r="H103" i="21"/>
  <c r="H65" i="21"/>
  <c r="H104" i="21"/>
  <c r="H66" i="21"/>
  <c r="H105" i="21"/>
  <c r="H106" i="21"/>
  <c r="G62" i="21"/>
  <c r="G101" i="21"/>
  <c r="G63" i="21"/>
  <c r="G102" i="21"/>
  <c r="G64" i="21"/>
  <c r="G103" i="21"/>
  <c r="G65" i="21"/>
  <c r="G104" i="21"/>
  <c r="G66" i="21"/>
  <c r="G105" i="21"/>
  <c r="G106" i="21"/>
  <c r="F62" i="21"/>
  <c r="F101" i="21"/>
  <c r="F63" i="21"/>
  <c r="F102" i="21"/>
  <c r="F64" i="21"/>
  <c r="F103" i="21"/>
  <c r="F65" i="21"/>
  <c r="F104" i="21"/>
  <c r="F66" i="21"/>
  <c r="F105" i="21"/>
  <c r="F106" i="21"/>
  <c r="E62" i="21"/>
  <c r="E101" i="21"/>
  <c r="E63" i="21"/>
  <c r="E102" i="21"/>
  <c r="E64" i="21"/>
  <c r="E103" i="21"/>
  <c r="E65" i="21"/>
  <c r="E104" i="21"/>
  <c r="E66" i="21"/>
  <c r="E105" i="21"/>
  <c r="E106" i="21"/>
  <c r="L100" i="21"/>
  <c r="K100" i="21"/>
  <c r="J100" i="21"/>
  <c r="I100" i="21"/>
  <c r="H100" i="21"/>
  <c r="G100" i="21"/>
  <c r="F100" i="21"/>
  <c r="E100" i="21"/>
  <c r="C56" i="21"/>
  <c r="L58" i="21"/>
  <c r="L99" i="21"/>
  <c r="K58" i="21"/>
  <c r="K99" i="21"/>
  <c r="J58" i="21"/>
  <c r="J99" i="21"/>
  <c r="I58" i="21"/>
  <c r="I99" i="21"/>
  <c r="H58" i="21"/>
  <c r="H99" i="21"/>
  <c r="G58" i="21"/>
  <c r="G99" i="21"/>
  <c r="F58" i="21"/>
  <c r="F99" i="21"/>
  <c r="E58" i="21"/>
  <c r="E99" i="21"/>
  <c r="L97" i="21"/>
  <c r="K97" i="21"/>
  <c r="J97" i="21"/>
  <c r="I97" i="21"/>
  <c r="H97" i="21"/>
  <c r="G97" i="21"/>
  <c r="F97" i="21"/>
  <c r="E97" i="21"/>
  <c r="L94" i="21"/>
  <c r="L95" i="21"/>
  <c r="K94" i="21"/>
  <c r="K95" i="21"/>
  <c r="J94" i="21"/>
  <c r="J95" i="21"/>
  <c r="I94" i="21"/>
  <c r="I95" i="21"/>
  <c r="H94" i="21"/>
  <c r="H95" i="21"/>
  <c r="G94" i="21"/>
  <c r="G95" i="21"/>
  <c r="F94" i="21"/>
  <c r="F95" i="21"/>
  <c r="E94" i="21"/>
  <c r="E95" i="21"/>
  <c r="D94" i="21"/>
  <c r="D93" i="21"/>
  <c r="D95" i="21"/>
  <c r="L91" i="21"/>
  <c r="L92" i="21" s="1"/>
  <c r="A91" i="21"/>
  <c r="K91" i="21"/>
  <c r="K92" i="21"/>
  <c r="J91" i="21"/>
  <c r="J92" i="21" s="1"/>
  <c r="I91" i="21"/>
  <c r="I92" i="21"/>
  <c r="H91" i="21"/>
  <c r="H92" i="21" s="1"/>
  <c r="G91" i="21"/>
  <c r="G92" i="21"/>
  <c r="F91" i="21"/>
  <c r="F92" i="21" s="1"/>
  <c r="E91" i="21"/>
  <c r="E92" i="21"/>
  <c r="D91" i="21"/>
  <c r="D92" i="21"/>
  <c r="A89" i="21"/>
  <c r="L89" i="21"/>
  <c r="K89" i="21"/>
  <c r="J89" i="21"/>
  <c r="I89" i="21"/>
  <c r="H89" i="21"/>
  <c r="G89" i="21"/>
  <c r="F89" i="21"/>
  <c r="E89" i="21"/>
  <c r="A88" i="21"/>
  <c r="L88" i="21"/>
  <c r="K88" i="21"/>
  <c r="J88" i="21"/>
  <c r="I88" i="21"/>
  <c r="H88" i="21"/>
  <c r="G88" i="21"/>
  <c r="F88" i="21"/>
  <c r="E88" i="21"/>
  <c r="D88" i="21"/>
  <c r="D87" i="21"/>
  <c r="N86" i="21"/>
  <c r="D86" i="21"/>
  <c r="H82" i="21"/>
  <c r="H84" i="21"/>
  <c r="M85" i="21"/>
  <c r="I82" i="21"/>
  <c r="I84" i="21"/>
  <c r="M84" i="21"/>
  <c r="L84" i="21"/>
  <c r="K84" i="21"/>
  <c r="J84" i="21"/>
  <c r="G84" i="21"/>
  <c r="F84" i="21"/>
  <c r="E84" i="21"/>
  <c r="D84" i="21"/>
  <c r="J82" i="21"/>
  <c r="M83" i="21"/>
  <c r="D83" i="21"/>
  <c r="K82" i="21"/>
  <c r="M82" i="21"/>
  <c r="L82" i="21"/>
  <c r="G82" i="21"/>
  <c r="F82" i="21"/>
  <c r="E82" i="21"/>
  <c r="D82" i="21"/>
  <c r="P81" i="21"/>
  <c r="M81" i="21"/>
  <c r="D80" i="21"/>
  <c r="D81" i="21"/>
  <c r="M80" i="21"/>
  <c r="M79" i="21"/>
  <c r="M78" i="21"/>
  <c r="M77" i="21"/>
  <c r="D72" i="21"/>
  <c r="D77" i="21"/>
  <c r="A76" i="21"/>
  <c r="A75" i="21"/>
  <c r="D70" i="21"/>
  <c r="N70" i="21"/>
  <c r="D71" i="21"/>
  <c r="N71" i="21"/>
  <c r="N72" i="21"/>
  <c r="D73" i="21"/>
  <c r="N73" i="21"/>
  <c r="N74" i="21"/>
  <c r="O70" i="21"/>
  <c r="O71" i="21"/>
  <c r="P72" i="21"/>
  <c r="P73" i="21"/>
  <c r="D62" i="21"/>
  <c r="D63" i="21"/>
  <c r="D64" i="21"/>
  <c r="D65" i="21"/>
  <c r="D66" i="21"/>
  <c r="D61" i="21"/>
  <c r="D1" i="21"/>
  <c r="D68" i="21"/>
  <c r="E61" i="21"/>
  <c r="E2" i="21"/>
  <c r="E1" i="21"/>
  <c r="E68" i="21"/>
  <c r="F61" i="21"/>
  <c r="F2" i="21"/>
  <c r="F1" i="21"/>
  <c r="F68" i="21"/>
  <c r="G61" i="21"/>
  <c r="G2" i="21"/>
  <c r="G1" i="21"/>
  <c r="G68" i="21"/>
  <c r="H61" i="21"/>
  <c r="H2" i="21"/>
  <c r="H1" i="21"/>
  <c r="H68" i="21"/>
  <c r="I61" i="21"/>
  <c r="I2" i="21"/>
  <c r="I1" i="21"/>
  <c r="I68" i="21"/>
  <c r="J61" i="21"/>
  <c r="J2" i="21"/>
  <c r="J1" i="21"/>
  <c r="J68" i="21"/>
  <c r="K61" i="21"/>
  <c r="K2" i="21"/>
  <c r="K1" i="21"/>
  <c r="K68" i="21"/>
  <c r="L61" i="21"/>
  <c r="L2" i="21"/>
  <c r="L1" i="21"/>
  <c r="L68" i="21"/>
  <c r="P68" i="21"/>
  <c r="D67" i="21"/>
  <c r="E67" i="21"/>
  <c r="F67" i="21"/>
  <c r="G67" i="21"/>
  <c r="H67" i="21"/>
  <c r="I67" i="21"/>
  <c r="J67" i="21"/>
  <c r="K67" i="21"/>
  <c r="L67" i="21"/>
  <c r="P67" i="21"/>
  <c r="P66" i="21"/>
  <c r="N66" i="21"/>
  <c r="O66" i="21"/>
  <c r="L43" i="21"/>
  <c r="L46" i="21"/>
  <c r="L59" i="21"/>
  <c r="K43" i="21"/>
  <c r="K46" i="21"/>
  <c r="K59" i="21"/>
  <c r="J43" i="21"/>
  <c r="J46" i="21"/>
  <c r="J59" i="21"/>
  <c r="I43" i="21"/>
  <c r="I46" i="21"/>
  <c r="I59" i="21"/>
  <c r="H43" i="21"/>
  <c r="H46" i="21"/>
  <c r="H59" i="21"/>
  <c r="G43" i="21"/>
  <c r="G46" i="21"/>
  <c r="G59" i="21"/>
  <c r="F43" i="21"/>
  <c r="F46" i="21"/>
  <c r="F59" i="21"/>
  <c r="E43" i="21"/>
  <c r="E46" i="21"/>
  <c r="E59" i="21"/>
  <c r="D43" i="21"/>
  <c r="D46" i="21"/>
  <c r="D59" i="21"/>
  <c r="A59" i="21"/>
  <c r="D58" i="21"/>
  <c r="L57" i="21"/>
  <c r="K57" i="21"/>
  <c r="J57" i="21"/>
  <c r="I57" i="21"/>
  <c r="H57" i="21"/>
  <c r="G57" i="21"/>
  <c r="F57" i="21"/>
  <c r="E57" i="21"/>
  <c r="D57" i="21"/>
  <c r="D50" i="21"/>
  <c r="D51" i="21"/>
  <c r="L52" i="21"/>
  <c r="G32" i="21"/>
  <c r="H32" i="21"/>
  <c r="I32" i="21"/>
  <c r="J32" i="21"/>
  <c r="K32" i="21"/>
  <c r="L32" i="21"/>
  <c r="L35" i="21"/>
  <c r="L37" i="21"/>
  <c r="L39" i="21" s="1"/>
  <c r="L54" i="21" s="1"/>
  <c r="K52" i="21"/>
  <c r="K35" i="21"/>
  <c r="K37" i="21"/>
  <c r="K39" i="21" s="1"/>
  <c r="K54" i="21" s="1"/>
  <c r="J52" i="21"/>
  <c r="J35" i="21"/>
  <c r="J37" i="21"/>
  <c r="J39" i="21" s="1"/>
  <c r="J54" i="21" s="1"/>
  <c r="I52" i="21"/>
  <c r="I35" i="21"/>
  <c r="I37" i="21"/>
  <c r="I39" i="21" s="1"/>
  <c r="I54" i="21" s="1"/>
  <c r="H52" i="21"/>
  <c r="H35" i="21"/>
  <c r="H37" i="21"/>
  <c r="H39" i="21" s="1"/>
  <c r="H54" i="21" s="1"/>
  <c r="G52" i="21"/>
  <c r="G35" i="21"/>
  <c r="G37" i="21"/>
  <c r="G39" i="21" s="1"/>
  <c r="G54" i="21" s="1"/>
  <c r="F52" i="21"/>
  <c r="F35" i="21"/>
  <c r="F37" i="21"/>
  <c r="F39" i="21"/>
  <c r="F54" i="21" s="1"/>
  <c r="E52" i="21"/>
  <c r="E35" i="21"/>
  <c r="E37" i="21"/>
  <c r="E39" i="21" s="1"/>
  <c r="E54" i="21" s="1"/>
  <c r="D52" i="21"/>
  <c r="D35" i="21"/>
  <c r="D37" i="21"/>
  <c r="D39" i="21"/>
  <c r="D54" i="21"/>
  <c r="L53" i="21"/>
  <c r="K53" i="21"/>
  <c r="J53" i="21"/>
  <c r="I53" i="21"/>
  <c r="H53" i="21"/>
  <c r="G53" i="21"/>
  <c r="F53" i="21"/>
  <c r="E53" i="21"/>
  <c r="D53" i="21"/>
  <c r="L50" i="21"/>
  <c r="L51" i="21"/>
  <c r="K50" i="21"/>
  <c r="K51" i="21"/>
  <c r="J50" i="21"/>
  <c r="J51" i="21"/>
  <c r="I50" i="21"/>
  <c r="I51" i="21"/>
  <c r="H50" i="21"/>
  <c r="H51" i="21"/>
  <c r="G50" i="21"/>
  <c r="G51" i="21"/>
  <c r="F50" i="21"/>
  <c r="F51" i="21"/>
  <c r="E50" i="21"/>
  <c r="E51" i="21"/>
  <c r="M50" i="21"/>
  <c r="L49" i="21"/>
  <c r="K49" i="21"/>
  <c r="J49" i="21"/>
  <c r="I49" i="21"/>
  <c r="H49" i="21"/>
  <c r="G49" i="21"/>
  <c r="F49" i="21"/>
  <c r="E49" i="21"/>
  <c r="D24" i="21"/>
  <c r="D42" i="21"/>
  <c r="D49" i="21"/>
  <c r="D44" i="21"/>
  <c r="D48" i="21"/>
  <c r="L47" i="21"/>
  <c r="K47" i="21"/>
  <c r="J47" i="21"/>
  <c r="I47" i="21"/>
  <c r="H47" i="21"/>
  <c r="G47" i="21"/>
  <c r="F47" i="21"/>
  <c r="E47" i="21"/>
  <c r="D47" i="21"/>
  <c r="H45" i="21"/>
  <c r="G45" i="21"/>
  <c r="F45" i="21"/>
  <c r="E45" i="21"/>
  <c r="G40" i="21"/>
  <c r="G41" i="21"/>
  <c r="F40" i="21"/>
  <c r="F41" i="21"/>
  <c r="E40" i="21"/>
  <c r="E41" i="21"/>
  <c r="D40" i="21"/>
  <c r="D41" i="21"/>
  <c r="A41" i="21"/>
  <c r="A40" i="21"/>
  <c r="N38" i="21"/>
  <c r="C37" i="21"/>
  <c r="N35" i="21"/>
  <c r="N36" i="21"/>
  <c r="N33" i="21"/>
  <c r="N34" i="21"/>
  <c r="A34" i="21"/>
  <c r="N31" i="21"/>
  <c r="N32" i="21"/>
  <c r="F31" i="21"/>
  <c r="M31" i="21"/>
  <c r="G31" i="21"/>
  <c r="H31" i="21"/>
  <c r="I31" i="21"/>
  <c r="J31" i="21"/>
  <c r="K31" i="21"/>
  <c r="L31" i="21"/>
  <c r="A31" i="21"/>
  <c r="N30" i="21"/>
  <c r="N29" i="21"/>
  <c r="N28" i="21"/>
  <c r="D28" i="21"/>
  <c r="N27" i="21"/>
  <c r="N26" i="21"/>
  <c r="L26" i="21"/>
  <c r="K26" i="21"/>
  <c r="J26" i="21"/>
  <c r="I26" i="21"/>
  <c r="H26" i="21"/>
  <c r="G26" i="21"/>
  <c r="F26" i="21"/>
  <c r="E26" i="21"/>
  <c r="L25" i="21"/>
  <c r="K25" i="21"/>
  <c r="J25" i="21"/>
  <c r="I25" i="21"/>
  <c r="H25" i="21"/>
  <c r="G25" i="21"/>
  <c r="F25" i="21"/>
  <c r="E25" i="21"/>
  <c r="D25" i="21"/>
  <c r="A25" i="21"/>
  <c r="N24" i="21"/>
  <c r="O23" i="21"/>
  <c r="N23" i="21"/>
  <c r="L22" i="21"/>
  <c r="K22" i="21"/>
  <c r="J22" i="21"/>
  <c r="I22" i="21"/>
  <c r="H22" i="21"/>
  <c r="G22" i="21"/>
  <c r="F22" i="21"/>
  <c r="E22" i="21"/>
  <c r="D22" i="21"/>
  <c r="A22" i="21"/>
  <c r="A21" i="21"/>
  <c r="N16" i="21"/>
  <c r="N17" i="21"/>
  <c r="O16" i="21"/>
  <c r="L14" i="21"/>
  <c r="K14" i="21"/>
  <c r="J14" i="21"/>
  <c r="I14" i="21"/>
  <c r="H14" i="21"/>
  <c r="G14" i="21"/>
  <c r="F14" i="21"/>
  <c r="E14" i="21"/>
  <c r="D14" i="21"/>
  <c r="D12" i="21"/>
  <c r="E12" i="21"/>
  <c r="F12" i="21"/>
  <c r="G12" i="21"/>
  <c r="H12" i="21"/>
  <c r="I12" i="21"/>
  <c r="J12" i="21"/>
  <c r="K12" i="21"/>
  <c r="L12" i="21"/>
  <c r="N12" i="21"/>
  <c r="L5" i="21"/>
  <c r="K5" i="21"/>
  <c r="J5" i="21"/>
  <c r="I5" i="21"/>
  <c r="H5" i="21"/>
  <c r="G5" i="21"/>
  <c r="F5" i="21"/>
  <c r="E5" i="21"/>
  <c r="D5" i="21"/>
  <c r="N4" i="21"/>
  <c r="E145" i="5"/>
  <c r="F145" i="5"/>
  <c r="G145" i="5"/>
  <c r="H145" i="5"/>
  <c r="I145" i="5"/>
  <c r="J145" i="5"/>
  <c r="K145" i="5"/>
  <c r="L145" i="5"/>
  <c r="D145" i="5"/>
  <c r="F88" i="11"/>
  <c r="G88" i="11"/>
  <c r="H88" i="11"/>
  <c r="I88" i="11"/>
  <c r="J88" i="11"/>
  <c r="K88" i="11"/>
  <c r="L88" i="11"/>
  <c r="E88" i="11"/>
  <c r="E89" i="10"/>
  <c r="F90" i="9"/>
  <c r="G90" i="9"/>
  <c r="H90" i="9"/>
  <c r="I90" i="9"/>
  <c r="J90" i="9"/>
  <c r="K90" i="9"/>
  <c r="L90" i="9"/>
  <c r="E90" i="9"/>
  <c r="F10" i="7"/>
  <c r="F11" i="7"/>
  <c r="F107" i="7"/>
  <c r="G10" i="7"/>
  <c r="G11" i="7"/>
  <c r="G107" i="7"/>
  <c r="H10" i="7"/>
  <c r="H11" i="7"/>
  <c r="H107" i="7"/>
  <c r="I10" i="7"/>
  <c r="I11" i="7"/>
  <c r="I107" i="7"/>
  <c r="J10" i="7"/>
  <c r="J11" i="7"/>
  <c r="J107" i="7"/>
  <c r="K10" i="7"/>
  <c r="K11" i="7"/>
  <c r="K107" i="7"/>
  <c r="L10" i="7"/>
  <c r="L11" i="7"/>
  <c r="L107" i="7"/>
  <c r="E107" i="7"/>
  <c r="D112" i="6"/>
  <c r="D40" i="14"/>
  <c r="A28" i="11"/>
  <c r="A29" i="11"/>
  <c r="D29" i="11"/>
  <c r="E29" i="11"/>
  <c r="F29" i="11"/>
  <c r="F39" i="11"/>
  <c r="A65" i="10"/>
  <c r="F10" i="10"/>
  <c r="F11" i="10"/>
  <c r="F65" i="10"/>
  <c r="F24" i="10"/>
  <c r="G4" i="10"/>
  <c r="H4" i="10"/>
  <c r="I4" i="10"/>
  <c r="I10" i="10"/>
  <c r="I11" i="10"/>
  <c r="I24" i="10"/>
  <c r="A55" i="10"/>
  <c r="F5" i="10"/>
  <c r="F55" i="10"/>
  <c r="F57" i="10"/>
  <c r="F86" i="10"/>
  <c r="A62" i="10"/>
  <c r="F60" i="10"/>
  <c r="F61" i="10"/>
  <c r="F78" i="10"/>
  <c r="A51" i="10"/>
  <c r="F51" i="10"/>
  <c r="A52" i="10"/>
  <c r="F52" i="10"/>
  <c r="F50" i="10"/>
  <c r="C101" i="10"/>
  <c r="D99" i="10"/>
  <c r="D100" i="10"/>
  <c r="C105" i="10"/>
  <c r="F72" i="10"/>
  <c r="D96" i="10"/>
  <c r="C107" i="10"/>
  <c r="F73" i="10"/>
  <c r="C106" i="10"/>
  <c r="F74" i="10"/>
  <c r="E5" i="10"/>
  <c r="E55" i="10"/>
  <c r="E81" i="10"/>
  <c r="M82" i="10"/>
  <c r="E82" i="10"/>
  <c r="E56" i="10"/>
  <c r="E83" i="10"/>
  <c r="E80" i="10"/>
  <c r="F81" i="10"/>
  <c r="F82" i="10"/>
  <c r="F56" i="10"/>
  <c r="F83" i="10"/>
  <c r="F80" i="10"/>
  <c r="F75" i="10"/>
  <c r="D102" i="10"/>
  <c r="F76" i="10"/>
  <c r="G60" i="10"/>
  <c r="G61" i="10"/>
  <c r="H60" i="10"/>
  <c r="H61" i="10"/>
  <c r="I60" i="10"/>
  <c r="I61" i="10"/>
  <c r="J4" i="10"/>
  <c r="J60" i="10"/>
  <c r="J61" i="10"/>
  <c r="K4" i="10"/>
  <c r="K60" i="10"/>
  <c r="K61" i="10"/>
  <c r="L4" i="10"/>
  <c r="L60" i="10"/>
  <c r="L61" i="10"/>
  <c r="K5" i="20"/>
  <c r="G5" i="20"/>
  <c r="R17" i="13"/>
  <c r="R18" i="13"/>
  <c r="F87" i="9"/>
  <c r="G87" i="9"/>
  <c r="H87" i="9"/>
  <c r="I87" i="9"/>
  <c r="J87" i="9"/>
  <c r="K87" i="9"/>
  <c r="L87" i="9"/>
  <c r="E87" i="9"/>
  <c r="C102" i="9"/>
  <c r="D100" i="9"/>
  <c r="D101" i="9"/>
  <c r="C106" i="9"/>
  <c r="D63" i="14"/>
  <c r="O62" i="9"/>
  <c r="I61" i="9"/>
  <c r="I62" i="9"/>
  <c r="J61" i="9"/>
  <c r="J62" i="9"/>
  <c r="K61" i="9"/>
  <c r="K62" i="9"/>
  <c r="L61" i="9"/>
  <c r="L62" i="9"/>
  <c r="C44" i="14"/>
  <c r="C47" i="9"/>
  <c r="F48" i="9"/>
  <c r="D48" i="9"/>
  <c r="D61" i="18"/>
  <c r="F10" i="20" s="1"/>
  <c r="F60" i="18"/>
  <c r="A28" i="9"/>
  <c r="C109" i="20"/>
  <c r="C110" i="20"/>
  <c r="A100" i="20"/>
  <c r="A102" i="20"/>
  <c r="E93" i="20"/>
  <c r="E94" i="20"/>
  <c r="C89" i="20"/>
  <c r="I87" i="20"/>
  <c r="H87" i="20"/>
  <c r="G87" i="20"/>
  <c r="F87" i="20"/>
  <c r="E87" i="20"/>
  <c r="D87" i="20"/>
  <c r="C87" i="20"/>
  <c r="B87" i="20"/>
  <c r="E79" i="20"/>
  <c r="E80" i="20"/>
  <c r="D80" i="20"/>
  <c r="E76" i="20"/>
  <c r="G76" i="20"/>
  <c r="F67" i="20"/>
  <c r="G67" i="20"/>
  <c r="F66" i="20"/>
  <c r="F65" i="20"/>
  <c r="D65" i="20"/>
  <c r="E65" i="20"/>
  <c r="G61" i="20"/>
  <c r="F60" i="20"/>
  <c r="F59" i="20"/>
  <c r="D59" i="20"/>
  <c r="E59" i="20"/>
  <c r="B45" i="20"/>
  <c r="D45" i="20"/>
  <c r="B46" i="20"/>
  <c r="D46" i="20"/>
  <c r="B47" i="20"/>
  <c r="B37" i="20"/>
  <c r="D37" i="20"/>
  <c r="B38" i="20"/>
  <c r="D38" i="20"/>
  <c r="B39" i="20"/>
  <c r="D41" i="20"/>
  <c r="L37" i="20"/>
  <c r="L38" i="20"/>
  <c r="L39" i="20"/>
  <c r="K28" i="20"/>
  <c r="J28" i="20"/>
  <c r="I28" i="20"/>
  <c r="K27" i="20"/>
  <c r="J27" i="20"/>
  <c r="I27" i="20"/>
  <c r="N23" i="20"/>
  <c r="M23" i="20"/>
  <c r="L23" i="20"/>
  <c r="K23" i="20"/>
  <c r="J23" i="20"/>
  <c r="I23" i="20"/>
  <c r="O21" i="20"/>
  <c r="B18" i="20"/>
  <c r="G18" i="20"/>
  <c r="G21" i="20"/>
  <c r="F21" i="20"/>
  <c r="F18" i="20"/>
  <c r="T18" i="20"/>
  <c r="B17" i="20"/>
  <c r="F17" i="20"/>
  <c r="T19" i="20"/>
  <c r="T20" i="20"/>
  <c r="G17" i="20"/>
  <c r="G20" i="20"/>
  <c r="F20" i="20"/>
  <c r="J18" i="20"/>
  <c r="B8" i="20"/>
  <c r="J8" i="20"/>
  <c r="O18" i="20"/>
  <c r="N18" i="20"/>
  <c r="M18" i="20"/>
  <c r="L18" i="20"/>
  <c r="K18" i="20"/>
  <c r="I18" i="20"/>
  <c r="H18" i="20"/>
  <c r="D18" i="20"/>
  <c r="N17" i="20"/>
  <c r="M17" i="20"/>
  <c r="L17" i="20"/>
  <c r="K17" i="20"/>
  <c r="J17" i="20"/>
  <c r="I17" i="20"/>
  <c r="H17" i="20"/>
  <c r="D17" i="20"/>
  <c r="B16" i="20"/>
  <c r="D16" i="20"/>
  <c r="N13" i="20"/>
  <c r="M13" i="20"/>
  <c r="L13" i="20"/>
  <c r="K13" i="20"/>
  <c r="J13" i="20"/>
  <c r="I13" i="20"/>
  <c r="H13" i="20"/>
  <c r="F13" i="20"/>
  <c r="K12" i="20"/>
  <c r="L12" i="20"/>
  <c r="M12" i="20"/>
  <c r="N12" i="20"/>
  <c r="J12" i="20"/>
  <c r="I12" i="20"/>
  <c r="H12" i="20"/>
  <c r="G12" i="20"/>
  <c r="C12" i="20"/>
  <c r="K11" i="20"/>
  <c r="L11" i="20"/>
  <c r="M11" i="20"/>
  <c r="N11" i="20" s="1"/>
  <c r="J11" i="20"/>
  <c r="I11" i="20"/>
  <c r="H11" i="20"/>
  <c r="G11" i="20"/>
  <c r="D11" i="20"/>
  <c r="B7" i="20"/>
  <c r="T10" i="20"/>
  <c r="T9" i="20"/>
  <c r="K9" i="20"/>
  <c r="L9" i="20"/>
  <c r="M9" i="20"/>
  <c r="N9" i="20"/>
  <c r="J9" i="20"/>
  <c r="I9" i="20"/>
  <c r="H9" i="20"/>
  <c r="G9" i="20"/>
  <c r="D7" i="20"/>
  <c r="D8" i="20"/>
  <c r="B9" i="20"/>
  <c r="T8" i="20"/>
  <c r="K8" i="20"/>
  <c r="L8" i="20"/>
  <c r="M8" i="20"/>
  <c r="N8" i="20"/>
  <c r="I8" i="20"/>
  <c r="H8" i="20"/>
  <c r="G8" i="20"/>
  <c r="F8" i="20"/>
  <c r="K7" i="20"/>
  <c r="L7" i="20"/>
  <c r="M7" i="20"/>
  <c r="N7" i="20"/>
  <c r="J7" i="20"/>
  <c r="I7" i="20"/>
  <c r="H7" i="20"/>
  <c r="G7" i="20"/>
  <c r="F7" i="20"/>
  <c r="F70" i="14"/>
  <c r="D56" i="18"/>
  <c r="D55" i="18"/>
  <c r="D140" i="14"/>
  <c r="F140" i="14"/>
  <c r="D60" i="18"/>
  <c r="B144" i="14"/>
  <c r="B130" i="14"/>
  <c r="D42" i="14"/>
  <c r="D58" i="18"/>
  <c r="A84" i="7"/>
  <c r="E84" i="7"/>
  <c r="F84" i="7"/>
  <c r="G84" i="7"/>
  <c r="H84" i="7"/>
  <c r="I84" i="7"/>
  <c r="J84" i="7"/>
  <c r="K84" i="7"/>
  <c r="L84" i="7"/>
  <c r="D84" i="7"/>
  <c r="E10" i="7"/>
  <c r="D10" i="7"/>
  <c r="A30" i="6"/>
  <c r="D30" i="6"/>
  <c r="E30" i="6" s="1"/>
  <c r="E38" i="6"/>
  <c r="E40" i="6" s="1"/>
  <c r="E83" i="6"/>
  <c r="E82" i="6"/>
  <c r="E101" i="6"/>
  <c r="E45" i="6"/>
  <c r="E102" i="6" s="1"/>
  <c r="O39" i="16" s="1"/>
  <c r="E58" i="6"/>
  <c r="E95" i="6"/>
  <c r="E59" i="6"/>
  <c r="E96" i="6"/>
  <c r="E60" i="6"/>
  <c r="E97" i="6"/>
  <c r="E61" i="6"/>
  <c r="E98" i="6"/>
  <c r="E62" i="6"/>
  <c r="E99" i="6"/>
  <c r="F38" i="6"/>
  <c r="F40" i="6" s="1"/>
  <c r="F39" i="6"/>
  <c r="F49" i="6" s="1"/>
  <c r="G39" i="6"/>
  <c r="H40" i="6"/>
  <c r="H39" i="6"/>
  <c r="I39" i="6"/>
  <c r="I49" i="6" s="1"/>
  <c r="K38" i="6"/>
  <c r="A69" i="6"/>
  <c r="D69" i="6"/>
  <c r="M69" i="6" s="1"/>
  <c r="E69" i="6"/>
  <c r="F69" i="6"/>
  <c r="G69" i="6"/>
  <c r="G107" i="6" s="1"/>
  <c r="Q44" i="16" s="1"/>
  <c r="H69" i="6"/>
  <c r="H107" i="6" s="1"/>
  <c r="I69" i="6"/>
  <c r="J69" i="6"/>
  <c r="K69" i="6"/>
  <c r="K107" i="6" s="1"/>
  <c r="U44" i="16" s="1"/>
  <c r="L69" i="6"/>
  <c r="L107" i="6" s="1"/>
  <c r="V44" i="16" s="1"/>
  <c r="E10" i="6"/>
  <c r="E11" i="6"/>
  <c r="E24" i="6"/>
  <c r="E43" i="6"/>
  <c r="E108" i="6" s="1"/>
  <c r="O45" i="16" s="1"/>
  <c r="F10" i="6"/>
  <c r="F11" i="6"/>
  <c r="F24" i="6"/>
  <c r="F43" i="6"/>
  <c r="G10" i="6"/>
  <c r="G11" i="6"/>
  <c r="G24" i="6"/>
  <c r="G43" i="6"/>
  <c r="G108" i="6" s="1"/>
  <c r="H10" i="6"/>
  <c r="H11" i="6"/>
  <c r="H24" i="6"/>
  <c r="H43" i="6"/>
  <c r="H108" i="6" s="1"/>
  <c r="I10" i="6"/>
  <c r="I11" i="6"/>
  <c r="I24" i="6"/>
  <c r="I43" i="6"/>
  <c r="I108" i="6" s="1"/>
  <c r="J10" i="6"/>
  <c r="J11" i="6"/>
  <c r="J24" i="6"/>
  <c r="J43" i="6"/>
  <c r="J108" i="6" s="1"/>
  <c r="K10" i="6"/>
  <c r="K11" i="6"/>
  <c r="K24" i="6"/>
  <c r="K43" i="6"/>
  <c r="K108" i="6" s="1"/>
  <c r="L10" i="6"/>
  <c r="L11" i="6"/>
  <c r="L24" i="6"/>
  <c r="L43" i="6"/>
  <c r="L108" i="6" s="1"/>
  <c r="D10" i="6"/>
  <c r="D11" i="6"/>
  <c r="D24" i="6"/>
  <c r="D43" i="6"/>
  <c r="F45" i="6"/>
  <c r="F102" i="6" s="1"/>
  <c r="G45" i="6"/>
  <c r="G102" i="6" s="1"/>
  <c r="H45" i="6"/>
  <c r="I45" i="6"/>
  <c r="I102" i="6" s="1"/>
  <c r="D45" i="6"/>
  <c r="D46" i="6" s="1"/>
  <c r="D55" i="6" s="1"/>
  <c r="D39" i="6"/>
  <c r="A84" i="5"/>
  <c r="L83" i="5"/>
  <c r="L84" i="5"/>
  <c r="L85" i="5"/>
  <c r="P84" i="5"/>
  <c r="I83" i="5"/>
  <c r="I84" i="5"/>
  <c r="I85" i="5"/>
  <c r="A86" i="5"/>
  <c r="I86" i="5"/>
  <c r="I87" i="5"/>
  <c r="M87" i="5"/>
  <c r="E83" i="5"/>
  <c r="F83" i="5"/>
  <c r="G83" i="5"/>
  <c r="H83" i="5"/>
  <c r="J83" i="5"/>
  <c r="K83" i="5"/>
  <c r="E84" i="5"/>
  <c r="F84" i="5"/>
  <c r="G84" i="5"/>
  <c r="H84" i="5"/>
  <c r="J84" i="5"/>
  <c r="K84" i="5"/>
  <c r="E85" i="5"/>
  <c r="F85" i="5"/>
  <c r="G85" i="5"/>
  <c r="H85" i="5"/>
  <c r="J85" i="5"/>
  <c r="K85" i="5"/>
  <c r="E86" i="5"/>
  <c r="F86" i="5"/>
  <c r="G86" i="5"/>
  <c r="H86" i="5"/>
  <c r="J86" i="5"/>
  <c r="K86" i="5"/>
  <c r="L86" i="5"/>
  <c r="E87" i="5"/>
  <c r="F87" i="5"/>
  <c r="G87" i="5"/>
  <c r="H87" i="5"/>
  <c r="J87" i="5"/>
  <c r="K87" i="5"/>
  <c r="L87" i="5"/>
  <c r="D87" i="5"/>
  <c r="D86" i="5"/>
  <c r="D85" i="5"/>
  <c r="D83" i="5"/>
  <c r="F45" i="5"/>
  <c r="F49" i="5"/>
  <c r="F111" i="5" s="1"/>
  <c r="G45" i="5"/>
  <c r="G49" i="5"/>
  <c r="G111" i="5"/>
  <c r="H45" i="5"/>
  <c r="H49" i="5"/>
  <c r="H111" i="5"/>
  <c r="I45" i="5"/>
  <c r="I49" i="5" s="1"/>
  <c r="I111" i="5" s="1"/>
  <c r="J45" i="5"/>
  <c r="J49" i="5"/>
  <c r="J111" i="5" s="1"/>
  <c r="K45" i="5"/>
  <c r="K49" i="5"/>
  <c r="K111" i="5"/>
  <c r="L45" i="5"/>
  <c r="L49" i="5"/>
  <c r="L111" i="5"/>
  <c r="D49" i="5"/>
  <c r="A96" i="5"/>
  <c r="E96" i="5"/>
  <c r="E122" i="5"/>
  <c r="F96" i="5"/>
  <c r="G96" i="5"/>
  <c r="H96" i="5"/>
  <c r="I96" i="5"/>
  <c r="J96" i="5"/>
  <c r="K96" i="5"/>
  <c r="L96" i="5"/>
  <c r="D96" i="5"/>
  <c r="E97" i="5"/>
  <c r="E98" i="5"/>
  <c r="F90" i="5"/>
  <c r="F89" i="5"/>
  <c r="G90" i="5"/>
  <c r="G89" i="5"/>
  <c r="N89" i="5"/>
  <c r="H90" i="5"/>
  <c r="H89" i="5"/>
  <c r="I90" i="5"/>
  <c r="I89" i="5"/>
  <c r="J90" i="5"/>
  <c r="J89" i="5"/>
  <c r="K90" i="5"/>
  <c r="K89" i="5"/>
  <c r="L90" i="5"/>
  <c r="L89" i="5"/>
  <c r="D90" i="5"/>
  <c r="D89" i="5"/>
  <c r="E44" i="5"/>
  <c r="F44" i="5"/>
  <c r="G44" i="5"/>
  <c r="H44" i="5"/>
  <c r="D51" i="5"/>
  <c r="D52" i="5"/>
  <c r="E53" i="5"/>
  <c r="F53" i="5"/>
  <c r="G53" i="5"/>
  <c r="H53" i="5"/>
  <c r="I53" i="5"/>
  <c r="J53" i="5"/>
  <c r="K53" i="5"/>
  <c r="L53" i="5"/>
  <c r="E51" i="5"/>
  <c r="F51" i="5"/>
  <c r="G51" i="5"/>
  <c r="H51" i="5"/>
  <c r="I51" i="5"/>
  <c r="J51" i="5"/>
  <c r="K51" i="5"/>
  <c r="D36" i="5"/>
  <c r="D38" i="5" s="1"/>
  <c r="D40" i="5" s="1"/>
  <c r="C324" i="13"/>
  <c r="C323" i="13"/>
  <c r="C322" i="13"/>
  <c r="B322" i="13"/>
  <c r="A71" i="5"/>
  <c r="O71" i="5"/>
  <c r="I71" i="5"/>
  <c r="J71" i="5"/>
  <c r="K71" i="5"/>
  <c r="K113" i="5" s="1"/>
  <c r="L71" i="5"/>
  <c r="L113" i="5" s="1"/>
  <c r="A72" i="5"/>
  <c r="O72" i="5"/>
  <c r="G114" i="5"/>
  <c r="Q66" i="16" s="1"/>
  <c r="I72" i="5"/>
  <c r="I114" i="5" s="1"/>
  <c r="J72" i="5"/>
  <c r="J114" i="5" s="1"/>
  <c r="T66" i="16" s="1"/>
  <c r="K72" i="5"/>
  <c r="L72" i="5"/>
  <c r="E1" i="5"/>
  <c r="E69" i="5"/>
  <c r="F62" i="5"/>
  <c r="F69" i="5" s="1"/>
  <c r="F1" i="5"/>
  <c r="G62" i="5"/>
  <c r="G69" i="5" s="1"/>
  <c r="G1" i="5"/>
  <c r="H62" i="5"/>
  <c r="H69" i="5" s="1"/>
  <c r="H1" i="5"/>
  <c r="I67" i="5"/>
  <c r="I64" i="5"/>
  <c r="I63" i="5"/>
  <c r="I65" i="5"/>
  <c r="I66" i="5"/>
  <c r="I62" i="5"/>
  <c r="I1" i="5"/>
  <c r="I69" i="5"/>
  <c r="J67" i="5"/>
  <c r="J64" i="5"/>
  <c r="J63" i="5"/>
  <c r="J65" i="5"/>
  <c r="J66" i="5"/>
  <c r="J62" i="5"/>
  <c r="J1" i="5"/>
  <c r="J69" i="5"/>
  <c r="K67" i="5"/>
  <c r="K64" i="5"/>
  <c r="K63" i="5"/>
  <c r="K65" i="5"/>
  <c r="K66" i="5"/>
  <c r="K62" i="5"/>
  <c r="K1" i="5"/>
  <c r="K69" i="5"/>
  <c r="L67" i="5"/>
  <c r="L64" i="5"/>
  <c r="L63" i="5"/>
  <c r="L65" i="5"/>
  <c r="L66" i="5"/>
  <c r="L62" i="5"/>
  <c r="L1" i="5"/>
  <c r="L69" i="5"/>
  <c r="D1" i="5"/>
  <c r="C57" i="5"/>
  <c r="E59" i="5"/>
  <c r="F59" i="5"/>
  <c r="G59" i="5"/>
  <c r="H59" i="5"/>
  <c r="I59" i="5"/>
  <c r="J59" i="5"/>
  <c r="K59" i="5"/>
  <c r="L59" i="5"/>
  <c r="D59" i="5"/>
  <c r="E58" i="5"/>
  <c r="F58" i="5"/>
  <c r="G58" i="5"/>
  <c r="H58" i="5"/>
  <c r="I58" i="5"/>
  <c r="J58" i="5"/>
  <c r="K58" i="5"/>
  <c r="L58" i="5"/>
  <c r="D58" i="5"/>
  <c r="F27" i="5"/>
  <c r="G27" i="5"/>
  <c r="H27" i="5"/>
  <c r="I27" i="5"/>
  <c r="J27" i="5"/>
  <c r="K27" i="5"/>
  <c r="L27" i="5"/>
  <c r="E27" i="5"/>
  <c r="E5" i="5"/>
  <c r="D5" i="5"/>
  <c r="E121" i="5"/>
  <c r="F121" i="5"/>
  <c r="G121" i="5"/>
  <c r="H121" i="5"/>
  <c r="I121" i="5"/>
  <c r="J121" i="5"/>
  <c r="K121" i="5"/>
  <c r="L121" i="5"/>
  <c r="D121" i="5"/>
  <c r="F83" i="6"/>
  <c r="F82" i="6"/>
  <c r="G83" i="6"/>
  <c r="G82" i="6"/>
  <c r="H83" i="6"/>
  <c r="H82" i="6"/>
  <c r="I83" i="6"/>
  <c r="I82" i="6"/>
  <c r="J83" i="6"/>
  <c r="J82" i="6"/>
  <c r="K83" i="6"/>
  <c r="K82" i="6"/>
  <c r="L83" i="6"/>
  <c r="L82" i="6"/>
  <c r="D83" i="6"/>
  <c r="D82" i="6"/>
  <c r="E44" i="6"/>
  <c r="E42" i="6"/>
  <c r="F44" i="6"/>
  <c r="G44" i="6"/>
  <c r="H44" i="6"/>
  <c r="I44" i="6"/>
  <c r="J44" i="6"/>
  <c r="K44" i="6"/>
  <c r="L44" i="6"/>
  <c r="D44" i="6"/>
  <c r="C38" i="5"/>
  <c r="C35" i="6"/>
  <c r="N36" i="5"/>
  <c r="N29" i="5" s="1"/>
  <c r="N28" i="5" s="1"/>
  <c r="N27" i="5" s="1"/>
  <c r="F46" i="5"/>
  <c r="N34" i="5" s="1"/>
  <c r="N35" i="5" s="1"/>
  <c r="E2" i="6"/>
  <c r="F2" i="6"/>
  <c r="G2" i="6"/>
  <c r="H2" i="6"/>
  <c r="I2" i="6"/>
  <c r="J2" i="6"/>
  <c r="K2" i="6"/>
  <c r="L2" i="6"/>
  <c r="E2" i="7"/>
  <c r="F2" i="7"/>
  <c r="G2" i="7"/>
  <c r="H2" i="7"/>
  <c r="I2" i="7"/>
  <c r="J2" i="7"/>
  <c r="K2" i="7"/>
  <c r="L2" i="7"/>
  <c r="D2" i="7"/>
  <c r="F110" i="5"/>
  <c r="G110" i="5"/>
  <c r="H110" i="5"/>
  <c r="I110" i="5"/>
  <c r="J110" i="5"/>
  <c r="K110" i="5"/>
  <c r="L110" i="5"/>
  <c r="D80" i="5"/>
  <c r="E113" i="5"/>
  <c r="E114" i="5"/>
  <c r="O66" i="16" s="1"/>
  <c r="F113" i="5"/>
  <c r="F114" i="5"/>
  <c r="P66" i="16" s="1"/>
  <c r="G113" i="5"/>
  <c r="Q65" i="16" s="1"/>
  <c r="F65" i="16" s="1"/>
  <c r="H113" i="5"/>
  <c r="H114" i="5"/>
  <c r="I113" i="5"/>
  <c r="I115" i="5"/>
  <c r="J113" i="5"/>
  <c r="J112" i="5" s="1"/>
  <c r="T64" i="16" s="1"/>
  <c r="J115" i="5"/>
  <c r="K114" i="5"/>
  <c r="K115" i="5"/>
  <c r="L114" i="5"/>
  <c r="V66" i="16" s="1"/>
  <c r="L115" i="5"/>
  <c r="F97" i="5"/>
  <c r="F98" i="5"/>
  <c r="G97" i="5"/>
  <c r="G98" i="5"/>
  <c r="H97" i="5"/>
  <c r="H98" i="5"/>
  <c r="I97" i="5"/>
  <c r="I98" i="5"/>
  <c r="J97" i="5"/>
  <c r="J98" i="5"/>
  <c r="K97" i="5"/>
  <c r="K98" i="5"/>
  <c r="L97" i="5"/>
  <c r="L98" i="5"/>
  <c r="D97" i="5"/>
  <c r="D98" i="5"/>
  <c r="D84" i="5"/>
  <c r="M80" i="5"/>
  <c r="M81" i="5"/>
  <c r="M82" i="5"/>
  <c r="M84" i="5"/>
  <c r="M83" i="5"/>
  <c r="M88" i="5"/>
  <c r="M86" i="5"/>
  <c r="M85" i="5"/>
  <c r="D189" i="13"/>
  <c r="C6" i="18"/>
  <c r="H46" i="5"/>
  <c r="G46" i="5"/>
  <c r="A264" i="13"/>
  <c r="A266" i="13"/>
  <c r="A258" i="13"/>
  <c r="A259" i="13"/>
  <c r="A261" i="13"/>
  <c r="A260" i="13"/>
  <c r="G213" i="13"/>
  <c r="F213" i="13"/>
  <c r="E213" i="13"/>
  <c r="AB213" i="13"/>
  <c r="AA213" i="13"/>
  <c r="Z213" i="13"/>
  <c r="Y213" i="13"/>
  <c r="X213" i="13"/>
  <c r="W213" i="13"/>
  <c r="V213" i="13"/>
  <c r="U213" i="13"/>
  <c r="T213" i="13"/>
  <c r="S213" i="13"/>
  <c r="R213" i="13"/>
  <c r="Q213" i="13"/>
  <c r="P213" i="13"/>
  <c r="O213" i="13"/>
  <c r="N213" i="13"/>
  <c r="M213" i="13"/>
  <c r="L213" i="13"/>
  <c r="K213" i="13"/>
  <c r="J213" i="13"/>
  <c r="I213" i="13"/>
  <c r="H213" i="13"/>
  <c r="B202" i="13"/>
  <c r="C4" i="18"/>
  <c r="K104" i="5"/>
  <c r="K52" i="9"/>
  <c r="K53" i="9"/>
  <c r="K51" i="9"/>
  <c r="K73" i="9"/>
  <c r="U56" i="16"/>
  <c r="L104" i="5"/>
  <c r="L52" i="9"/>
  <c r="L53" i="9"/>
  <c r="L51" i="9"/>
  <c r="L73" i="9"/>
  <c r="V56" i="16"/>
  <c r="K105" i="5"/>
  <c r="D97" i="9"/>
  <c r="C108" i="9"/>
  <c r="K74" i="9"/>
  <c r="U57" i="16"/>
  <c r="L105" i="5"/>
  <c r="L74" i="9"/>
  <c r="V57" i="16"/>
  <c r="K106" i="5"/>
  <c r="C107" i="9"/>
  <c r="K75" i="9"/>
  <c r="U58" i="16"/>
  <c r="L106" i="5"/>
  <c r="L75" i="9"/>
  <c r="V58" i="16"/>
  <c r="K107" i="5"/>
  <c r="E82" i="9"/>
  <c r="M83" i="9"/>
  <c r="E83" i="9"/>
  <c r="E84" i="9"/>
  <c r="E81" i="9"/>
  <c r="F82" i="9"/>
  <c r="F83" i="9"/>
  <c r="F84" i="9"/>
  <c r="F81" i="9"/>
  <c r="G82" i="9"/>
  <c r="G83" i="9"/>
  <c r="G84" i="9"/>
  <c r="G81" i="9"/>
  <c r="H82" i="9"/>
  <c r="H83" i="9"/>
  <c r="H84" i="9"/>
  <c r="H81" i="9"/>
  <c r="I5" i="9"/>
  <c r="I56" i="9"/>
  <c r="I82" i="9"/>
  <c r="I83" i="9"/>
  <c r="I57" i="9"/>
  <c r="I84" i="9"/>
  <c r="I81" i="9"/>
  <c r="J5" i="9"/>
  <c r="J56" i="9"/>
  <c r="J82" i="9"/>
  <c r="J83" i="9"/>
  <c r="J57" i="9"/>
  <c r="J84" i="9"/>
  <c r="J81" i="9"/>
  <c r="K5" i="9"/>
  <c r="K56" i="9"/>
  <c r="K82" i="9"/>
  <c r="K83" i="9"/>
  <c r="K57" i="9"/>
  <c r="K84" i="9"/>
  <c r="K81" i="9"/>
  <c r="K76" i="9"/>
  <c r="U59" i="16"/>
  <c r="L107" i="5"/>
  <c r="L5" i="9"/>
  <c r="L56" i="9"/>
  <c r="L82" i="9"/>
  <c r="L83" i="9"/>
  <c r="L57" i="9"/>
  <c r="L84" i="9"/>
  <c r="L81" i="9"/>
  <c r="L76" i="9"/>
  <c r="V59" i="16"/>
  <c r="K108" i="5"/>
  <c r="D103" i="9"/>
  <c r="K77" i="9"/>
  <c r="U60" i="16"/>
  <c r="L108" i="5"/>
  <c r="L77" i="9"/>
  <c r="V60" i="16"/>
  <c r="F32" i="5"/>
  <c r="G32" i="5"/>
  <c r="H32" i="5"/>
  <c r="I32" i="5"/>
  <c r="J32" i="5"/>
  <c r="K32" i="5"/>
  <c r="K3" i="9"/>
  <c r="K79" i="9"/>
  <c r="L32" i="5"/>
  <c r="L3" i="9"/>
  <c r="L79" i="9"/>
  <c r="F55" i="7"/>
  <c r="F56" i="7"/>
  <c r="F57" i="7"/>
  <c r="F58" i="7"/>
  <c r="F54" i="7"/>
  <c r="F90" i="7"/>
  <c r="A51" i="11"/>
  <c r="F4" i="11"/>
  <c r="F51" i="11"/>
  <c r="A52" i="11"/>
  <c r="F52" i="11"/>
  <c r="F50" i="11"/>
  <c r="C102" i="11"/>
  <c r="D98" i="11"/>
  <c r="D99" i="11"/>
  <c r="C104" i="11"/>
  <c r="F71" i="11"/>
  <c r="E8" i="16"/>
  <c r="G55" i="7"/>
  <c r="G56" i="7"/>
  <c r="G57" i="7"/>
  <c r="G58" i="7"/>
  <c r="G54" i="7"/>
  <c r="G90" i="7"/>
  <c r="G4" i="11"/>
  <c r="G51" i="11"/>
  <c r="G52" i="11"/>
  <c r="G50" i="11"/>
  <c r="G71" i="11"/>
  <c r="F8" i="16"/>
  <c r="H55" i="7"/>
  <c r="H56" i="7"/>
  <c r="H57" i="7"/>
  <c r="H58" i="7"/>
  <c r="H54" i="7"/>
  <c r="H90" i="7"/>
  <c r="H4" i="11"/>
  <c r="H51" i="11"/>
  <c r="H52" i="11"/>
  <c r="H50" i="11"/>
  <c r="H71" i="11"/>
  <c r="G8" i="16"/>
  <c r="I55" i="7"/>
  <c r="I56" i="7"/>
  <c r="I57" i="7"/>
  <c r="I58" i="7"/>
  <c r="I54" i="7"/>
  <c r="I90" i="7"/>
  <c r="I4" i="11"/>
  <c r="I51" i="11"/>
  <c r="I52" i="11"/>
  <c r="I50" i="11"/>
  <c r="I71" i="11"/>
  <c r="H8" i="16"/>
  <c r="J55" i="7"/>
  <c r="J56" i="7"/>
  <c r="J57" i="7"/>
  <c r="J58" i="7"/>
  <c r="J54" i="7"/>
  <c r="J90" i="7"/>
  <c r="J4" i="11"/>
  <c r="J51" i="11"/>
  <c r="J52" i="11"/>
  <c r="J50" i="11"/>
  <c r="J71" i="11"/>
  <c r="I8" i="16"/>
  <c r="K55" i="7"/>
  <c r="K56" i="7"/>
  <c r="K57" i="7"/>
  <c r="K58" i="7"/>
  <c r="K54" i="7"/>
  <c r="K90" i="7"/>
  <c r="K4" i="11"/>
  <c r="K51" i="11"/>
  <c r="K52" i="11"/>
  <c r="K50" i="11"/>
  <c r="K71" i="11"/>
  <c r="J8" i="16"/>
  <c r="L55" i="7"/>
  <c r="L56" i="7"/>
  <c r="L57" i="7"/>
  <c r="L58" i="7"/>
  <c r="L54" i="7"/>
  <c r="L90" i="7"/>
  <c r="L4" i="11"/>
  <c r="L51" i="11"/>
  <c r="L52" i="11"/>
  <c r="L50" i="11"/>
  <c r="L71" i="11"/>
  <c r="K8" i="16"/>
  <c r="F91" i="7"/>
  <c r="D95" i="11"/>
  <c r="C106" i="11"/>
  <c r="F72" i="11"/>
  <c r="E9" i="16"/>
  <c r="G91" i="7"/>
  <c r="G72" i="11"/>
  <c r="F9" i="16"/>
  <c r="H91" i="7"/>
  <c r="H72" i="11"/>
  <c r="G9" i="16"/>
  <c r="I91" i="7"/>
  <c r="I72" i="11"/>
  <c r="H9" i="16"/>
  <c r="J91" i="7"/>
  <c r="J72" i="11"/>
  <c r="I9" i="16"/>
  <c r="K91" i="7"/>
  <c r="K72" i="11"/>
  <c r="J9" i="16"/>
  <c r="L91" i="7"/>
  <c r="L72" i="11"/>
  <c r="K9" i="16"/>
  <c r="F92" i="7"/>
  <c r="C105" i="11"/>
  <c r="F73" i="11"/>
  <c r="E10" i="16"/>
  <c r="G92" i="7"/>
  <c r="G73" i="11"/>
  <c r="F10" i="16"/>
  <c r="H92" i="7"/>
  <c r="H73" i="11"/>
  <c r="G10" i="16"/>
  <c r="I92" i="7"/>
  <c r="I73" i="11"/>
  <c r="H10" i="16"/>
  <c r="J92" i="7"/>
  <c r="J73" i="11"/>
  <c r="I10" i="16"/>
  <c r="K92" i="7"/>
  <c r="K73" i="11"/>
  <c r="J10" i="16"/>
  <c r="L92" i="7"/>
  <c r="L73" i="11"/>
  <c r="K10" i="16"/>
  <c r="F93" i="7"/>
  <c r="A55" i="11"/>
  <c r="E5" i="11"/>
  <c r="E55" i="11"/>
  <c r="E80" i="11"/>
  <c r="M81" i="11"/>
  <c r="E81" i="11"/>
  <c r="E56" i="11"/>
  <c r="E82" i="11"/>
  <c r="E79" i="11"/>
  <c r="F5" i="11"/>
  <c r="F55" i="11"/>
  <c r="F80" i="11"/>
  <c r="F81" i="11"/>
  <c r="F56" i="11"/>
  <c r="F82" i="11"/>
  <c r="F79" i="11"/>
  <c r="F74" i="11"/>
  <c r="E11" i="16"/>
  <c r="G93" i="7"/>
  <c r="G5" i="11"/>
  <c r="G55" i="11"/>
  <c r="G80" i="11"/>
  <c r="G81" i="11"/>
  <c r="G56" i="11"/>
  <c r="G82" i="11"/>
  <c r="G79" i="11"/>
  <c r="G74" i="11"/>
  <c r="F11" i="16"/>
  <c r="H93" i="7"/>
  <c r="H5" i="11"/>
  <c r="H55" i="11"/>
  <c r="H80" i="11"/>
  <c r="H81" i="11"/>
  <c r="H56" i="11"/>
  <c r="H82" i="11"/>
  <c r="H79" i="11"/>
  <c r="H74" i="11"/>
  <c r="G11" i="16"/>
  <c r="I93" i="7"/>
  <c r="I5" i="11"/>
  <c r="I55" i="11"/>
  <c r="I80" i="11"/>
  <c r="I81" i="11"/>
  <c r="I56" i="11"/>
  <c r="I82" i="11"/>
  <c r="I79" i="11"/>
  <c r="I74" i="11"/>
  <c r="H11" i="16"/>
  <c r="J93" i="7"/>
  <c r="J5" i="11"/>
  <c r="J55" i="11"/>
  <c r="J80" i="11"/>
  <c r="J81" i="11"/>
  <c r="J56" i="11"/>
  <c r="J82" i="11"/>
  <c r="J79" i="11"/>
  <c r="J74" i="11"/>
  <c r="I11" i="16"/>
  <c r="K93" i="7"/>
  <c r="K5" i="11"/>
  <c r="K55" i="11"/>
  <c r="K80" i="11"/>
  <c r="K81" i="11"/>
  <c r="K56" i="11"/>
  <c r="K82" i="11"/>
  <c r="K79" i="11"/>
  <c r="K74" i="11"/>
  <c r="J11" i="16"/>
  <c r="L93" i="7"/>
  <c r="L5" i="11"/>
  <c r="L55" i="11"/>
  <c r="L80" i="11"/>
  <c r="L81" i="11"/>
  <c r="L56" i="11"/>
  <c r="L82" i="11"/>
  <c r="L79" i="11"/>
  <c r="L74" i="11"/>
  <c r="K11" i="16"/>
  <c r="F94" i="7"/>
  <c r="D101" i="11"/>
  <c r="F75" i="11"/>
  <c r="E12" i="16"/>
  <c r="G94" i="7"/>
  <c r="G75" i="11"/>
  <c r="F12" i="16"/>
  <c r="H94" i="7"/>
  <c r="H75" i="11"/>
  <c r="G12" i="16"/>
  <c r="I94" i="7"/>
  <c r="I75" i="11"/>
  <c r="H12" i="16"/>
  <c r="J94" i="7"/>
  <c r="J75" i="11"/>
  <c r="I12" i="16"/>
  <c r="K94" i="7"/>
  <c r="K75" i="11"/>
  <c r="J12" i="16"/>
  <c r="L94" i="7"/>
  <c r="L75" i="11"/>
  <c r="K12" i="16"/>
  <c r="A61" i="11"/>
  <c r="C8" i="11"/>
  <c r="F3" i="11"/>
  <c r="F60" i="11"/>
  <c r="F77" i="11"/>
  <c r="F10" i="11"/>
  <c r="F11" i="11"/>
  <c r="F24" i="11"/>
  <c r="F38" i="11"/>
  <c r="F40" i="11"/>
  <c r="F78" i="11"/>
  <c r="F76" i="11"/>
  <c r="E13" i="16"/>
  <c r="G3" i="11"/>
  <c r="G60" i="11"/>
  <c r="G77" i="11"/>
  <c r="G29" i="11"/>
  <c r="G39" i="11"/>
  <c r="G10" i="11"/>
  <c r="G11" i="11"/>
  <c r="G24" i="11"/>
  <c r="G38" i="11"/>
  <c r="G40" i="11"/>
  <c r="G78" i="11"/>
  <c r="G76" i="11"/>
  <c r="F13" i="16"/>
  <c r="H3" i="11"/>
  <c r="H60" i="11"/>
  <c r="H77" i="11"/>
  <c r="H29" i="11"/>
  <c r="H39" i="11"/>
  <c r="H10" i="11"/>
  <c r="H11" i="11"/>
  <c r="H24" i="11"/>
  <c r="H38" i="11"/>
  <c r="H40" i="11"/>
  <c r="H78" i="11"/>
  <c r="H76" i="11"/>
  <c r="G13" i="16"/>
  <c r="I3" i="11"/>
  <c r="I60" i="11"/>
  <c r="I77" i="11"/>
  <c r="I29" i="11"/>
  <c r="I39" i="11"/>
  <c r="I10" i="11"/>
  <c r="I11" i="11"/>
  <c r="I24" i="11"/>
  <c r="I38" i="11"/>
  <c r="I40" i="11"/>
  <c r="I78" i="11"/>
  <c r="I76" i="11"/>
  <c r="H13" i="16"/>
  <c r="J3" i="11"/>
  <c r="J60" i="11"/>
  <c r="J77" i="11"/>
  <c r="J29" i="11"/>
  <c r="J39" i="11"/>
  <c r="J10" i="11"/>
  <c r="J11" i="11"/>
  <c r="J24" i="11"/>
  <c r="J38" i="11"/>
  <c r="J40" i="11"/>
  <c r="J78" i="11"/>
  <c r="J76" i="11"/>
  <c r="I13" i="16"/>
  <c r="K3" i="11"/>
  <c r="K60" i="11"/>
  <c r="K77" i="11"/>
  <c r="K29" i="11"/>
  <c r="K39" i="11"/>
  <c r="K10" i="11"/>
  <c r="K11" i="11"/>
  <c r="K24" i="11"/>
  <c r="K38" i="11"/>
  <c r="K40" i="11"/>
  <c r="K78" i="11"/>
  <c r="K76" i="11"/>
  <c r="J13" i="16"/>
  <c r="L3" i="11"/>
  <c r="L60" i="11"/>
  <c r="L77" i="11"/>
  <c r="L29" i="11"/>
  <c r="L39" i="11"/>
  <c r="L10" i="11"/>
  <c r="L11" i="11"/>
  <c r="L24" i="11"/>
  <c r="L38" i="11"/>
  <c r="L40" i="11"/>
  <c r="L78" i="11"/>
  <c r="L76" i="11"/>
  <c r="K13" i="16"/>
  <c r="E55" i="7"/>
  <c r="E91" i="7"/>
  <c r="E51" i="11"/>
  <c r="E52" i="11"/>
  <c r="E50" i="11"/>
  <c r="E72" i="11"/>
  <c r="D9" i="16"/>
  <c r="E56" i="7"/>
  <c r="E92" i="7"/>
  <c r="E73" i="11"/>
  <c r="D10" i="16"/>
  <c r="E57" i="7"/>
  <c r="E93" i="7"/>
  <c r="E74" i="11"/>
  <c r="D11" i="16"/>
  <c r="E58" i="7"/>
  <c r="E94" i="7"/>
  <c r="E75" i="11"/>
  <c r="D12" i="16"/>
  <c r="E3" i="11"/>
  <c r="E60" i="11"/>
  <c r="E77" i="11"/>
  <c r="E71" i="11"/>
  <c r="E39" i="11"/>
  <c r="E38" i="11"/>
  <c r="E40" i="11"/>
  <c r="E78" i="11"/>
  <c r="E76" i="11"/>
  <c r="D13" i="16"/>
  <c r="D102" i="11"/>
  <c r="C100" i="11"/>
  <c r="D100" i="11"/>
  <c r="L51" i="10"/>
  <c r="L52" i="10"/>
  <c r="L50" i="10"/>
  <c r="L72" i="10"/>
  <c r="L73" i="10"/>
  <c r="L74" i="10"/>
  <c r="G5" i="10"/>
  <c r="G55" i="10"/>
  <c r="G81" i="10"/>
  <c r="G82" i="10"/>
  <c r="G56" i="10"/>
  <c r="G83" i="10"/>
  <c r="G80" i="10"/>
  <c r="H5" i="10"/>
  <c r="H55" i="10"/>
  <c r="H81" i="10"/>
  <c r="H82" i="10"/>
  <c r="H56" i="10"/>
  <c r="H83" i="10"/>
  <c r="H80" i="10"/>
  <c r="I5" i="10"/>
  <c r="I55" i="10"/>
  <c r="I81" i="10"/>
  <c r="I82" i="10"/>
  <c r="I56" i="10"/>
  <c r="I83" i="10"/>
  <c r="I80" i="10"/>
  <c r="J5" i="10"/>
  <c r="J55" i="10"/>
  <c r="J81" i="10"/>
  <c r="J82" i="10"/>
  <c r="J56" i="10"/>
  <c r="J83" i="10"/>
  <c r="J80" i="10"/>
  <c r="K5" i="10"/>
  <c r="K55" i="10"/>
  <c r="K81" i="10"/>
  <c r="K82" i="10"/>
  <c r="K56" i="10"/>
  <c r="K83" i="10"/>
  <c r="K80" i="10"/>
  <c r="L5" i="10"/>
  <c r="L55" i="10"/>
  <c r="L81" i="10"/>
  <c r="L82" i="10"/>
  <c r="L56" i="10"/>
  <c r="L83" i="10"/>
  <c r="L80" i="10"/>
  <c r="L75" i="10"/>
  <c r="L76" i="10"/>
  <c r="C8" i="10"/>
  <c r="L3" i="10"/>
  <c r="L78" i="10"/>
  <c r="L10" i="10"/>
  <c r="L11" i="10"/>
  <c r="L24" i="10"/>
  <c r="K51" i="10"/>
  <c r="K52" i="10"/>
  <c r="K50" i="10"/>
  <c r="K72" i="10"/>
  <c r="K73" i="10"/>
  <c r="K74" i="10"/>
  <c r="K75" i="10"/>
  <c r="K76" i="10"/>
  <c r="K3" i="10"/>
  <c r="K78" i="10"/>
  <c r="K10" i="10"/>
  <c r="K11" i="10"/>
  <c r="K24" i="10"/>
  <c r="J51" i="10"/>
  <c r="J52" i="10"/>
  <c r="J50" i="10"/>
  <c r="J72" i="10"/>
  <c r="J73" i="10"/>
  <c r="J74" i="10"/>
  <c r="J75" i="10"/>
  <c r="J76" i="10"/>
  <c r="J3" i="10"/>
  <c r="J78" i="10"/>
  <c r="J10" i="10"/>
  <c r="J11" i="10"/>
  <c r="J24" i="10"/>
  <c r="I51" i="10"/>
  <c r="I52" i="10"/>
  <c r="I50" i="10"/>
  <c r="I72" i="10"/>
  <c r="I73" i="10"/>
  <c r="I74" i="10"/>
  <c r="I75" i="10"/>
  <c r="I76" i="10"/>
  <c r="I3" i="10"/>
  <c r="I78" i="10"/>
  <c r="H51" i="10"/>
  <c r="H52" i="10"/>
  <c r="H50" i="10"/>
  <c r="H72" i="10"/>
  <c r="H73" i="10"/>
  <c r="H74" i="10"/>
  <c r="H75" i="10"/>
  <c r="H76" i="10"/>
  <c r="H3" i="10"/>
  <c r="H78" i="10"/>
  <c r="H10" i="10"/>
  <c r="H11" i="10"/>
  <c r="H24" i="10"/>
  <c r="G51" i="10"/>
  <c r="G52" i="10"/>
  <c r="G50" i="10"/>
  <c r="G72" i="10"/>
  <c r="G73" i="10"/>
  <c r="G74" i="10"/>
  <c r="G75" i="10"/>
  <c r="G76" i="10"/>
  <c r="G3" i="10"/>
  <c r="G78" i="10"/>
  <c r="G10" i="10"/>
  <c r="G11" i="10"/>
  <c r="G24" i="10"/>
  <c r="F3" i="10"/>
  <c r="E51" i="10"/>
  <c r="E52" i="10"/>
  <c r="E50" i="10"/>
  <c r="E72" i="10"/>
  <c r="E73" i="10"/>
  <c r="E74" i="10"/>
  <c r="E75" i="10"/>
  <c r="E76" i="10"/>
  <c r="E3" i="10"/>
  <c r="E61" i="10"/>
  <c r="E78" i="10"/>
  <c r="E39" i="10"/>
  <c r="E38" i="10"/>
  <c r="E40" i="10"/>
  <c r="E79" i="10"/>
  <c r="E77" i="10"/>
  <c r="F79" i="9"/>
  <c r="F76" i="9"/>
  <c r="G3" i="9"/>
  <c r="G79" i="9"/>
  <c r="G73" i="9"/>
  <c r="G74" i="9"/>
  <c r="G75" i="9"/>
  <c r="G76" i="9"/>
  <c r="G77" i="9"/>
  <c r="H3" i="9"/>
  <c r="H79" i="9"/>
  <c r="H73" i="9"/>
  <c r="H74" i="9"/>
  <c r="H75" i="9"/>
  <c r="H76" i="9"/>
  <c r="H77" i="9"/>
  <c r="I3" i="9"/>
  <c r="I79" i="9"/>
  <c r="I52" i="9"/>
  <c r="I53" i="9"/>
  <c r="I51" i="9"/>
  <c r="I73" i="9"/>
  <c r="I74" i="9"/>
  <c r="I75" i="9"/>
  <c r="I76" i="9"/>
  <c r="I77" i="9"/>
  <c r="J3" i="9"/>
  <c r="J79" i="9"/>
  <c r="J52" i="9"/>
  <c r="J53" i="9"/>
  <c r="J51" i="9"/>
  <c r="J73" i="9"/>
  <c r="J74" i="9"/>
  <c r="J75" i="9"/>
  <c r="J76" i="9"/>
  <c r="J77" i="9"/>
  <c r="E79" i="9"/>
  <c r="E73" i="9"/>
  <c r="E74" i="9"/>
  <c r="E75" i="9"/>
  <c r="E76" i="9"/>
  <c r="E77" i="9"/>
  <c r="F41" i="7"/>
  <c r="D11" i="7"/>
  <c r="G41" i="7"/>
  <c r="H41" i="7"/>
  <c r="I41" i="7"/>
  <c r="J41" i="7"/>
  <c r="K41" i="7"/>
  <c r="L41" i="7"/>
  <c r="E41" i="7"/>
  <c r="E54" i="7"/>
  <c r="E90" i="7"/>
  <c r="E86" i="9"/>
  <c r="L65" i="10"/>
  <c r="L90" i="10"/>
  <c r="K65" i="10"/>
  <c r="K90" i="10"/>
  <c r="J65" i="10"/>
  <c r="J90" i="10"/>
  <c r="I65" i="10"/>
  <c r="I90" i="10"/>
  <c r="H65" i="10"/>
  <c r="H90" i="10"/>
  <c r="G65" i="10"/>
  <c r="G90" i="10"/>
  <c r="F90" i="10"/>
  <c r="E10" i="10"/>
  <c r="E11" i="10"/>
  <c r="E65" i="10"/>
  <c r="E90" i="10"/>
  <c r="F91" i="9"/>
  <c r="G91" i="9"/>
  <c r="H91" i="9"/>
  <c r="I91" i="9"/>
  <c r="J91" i="9"/>
  <c r="K91" i="9"/>
  <c r="L91" i="9"/>
  <c r="E91" i="9"/>
  <c r="L108" i="7"/>
  <c r="K108" i="7"/>
  <c r="J108" i="7"/>
  <c r="I108" i="7"/>
  <c r="H108" i="7"/>
  <c r="G108" i="7"/>
  <c r="F108" i="7"/>
  <c r="E11" i="7"/>
  <c r="E108" i="7"/>
  <c r="A89" i="6"/>
  <c r="K122" i="5"/>
  <c r="L122" i="5"/>
  <c r="F23" i="5"/>
  <c r="A91" i="5"/>
  <c r="L102" i="5"/>
  <c r="L49" i="9"/>
  <c r="L71" i="9"/>
  <c r="V54" i="16"/>
  <c r="C49" i="7"/>
  <c r="L51" i="7"/>
  <c r="L88" i="7"/>
  <c r="C46" i="11"/>
  <c r="L48" i="11"/>
  <c r="L69" i="11"/>
  <c r="K6" i="16"/>
  <c r="K54" i="16"/>
  <c r="L89" i="7"/>
  <c r="L70" i="11"/>
  <c r="K7" i="16"/>
  <c r="K102" i="5"/>
  <c r="K49" i="9"/>
  <c r="K71" i="9"/>
  <c r="U54" i="16"/>
  <c r="K51" i="7"/>
  <c r="K88" i="7"/>
  <c r="K48" i="11"/>
  <c r="K69" i="11"/>
  <c r="J6" i="16"/>
  <c r="J54" i="16"/>
  <c r="K89" i="7"/>
  <c r="K70" i="11"/>
  <c r="J7" i="16"/>
  <c r="J49" i="9"/>
  <c r="J71" i="9"/>
  <c r="J51" i="7"/>
  <c r="J88" i="7"/>
  <c r="J48" i="11"/>
  <c r="J69" i="11"/>
  <c r="I6" i="16"/>
  <c r="J89" i="7"/>
  <c r="J70" i="11"/>
  <c r="I7" i="16"/>
  <c r="I49" i="9"/>
  <c r="I71" i="9"/>
  <c r="I51" i="7"/>
  <c r="I88" i="7"/>
  <c r="I48" i="11"/>
  <c r="I69" i="11"/>
  <c r="H6" i="16"/>
  <c r="I89" i="7"/>
  <c r="I70" i="11"/>
  <c r="H7" i="16"/>
  <c r="H49" i="9"/>
  <c r="H71" i="9"/>
  <c r="H51" i="7"/>
  <c r="H88" i="7"/>
  <c r="H48" i="11"/>
  <c r="H69" i="11"/>
  <c r="G6" i="16"/>
  <c r="H89" i="7"/>
  <c r="H70" i="11"/>
  <c r="G7" i="16"/>
  <c r="G49" i="9"/>
  <c r="G71" i="9"/>
  <c r="G51" i="7"/>
  <c r="G88" i="7"/>
  <c r="G48" i="11"/>
  <c r="G69" i="11"/>
  <c r="F6" i="16"/>
  <c r="G89" i="7"/>
  <c r="G70" i="11"/>
  <c r="F7" i="16"/>
  <c r="F49" i="9"/>
  <c r="F71" i="9"/>
  <c r="F51" i="7"/>
  <c r="F88" i="7"/>
  <c r="F48" i="11"/>
  <c r="F69" i="11"/>
  <c r="E6" i="16"/>
  <c r="F89" i="7"/>
  <c r="F70" i="11"/>
  <c r="E7" i="16"/>
  <c r="E49" i="9"/>
  <c r="E71" i="9"/>
  <c r="E51" i="7"/>
  <c r="E88" i="7"/>
  <c r="E10" i="11"/>
  <c r="E11" i="11"/>
  <c r="E48" i="11"/>
  <c r="E69" i="11"/>
  <c r="D6" i="16"/>
  <c r="E89" i="7"/>
  <c r="E70" i="11"/>
  <c r="D7" i="16"/>
  <c r="E71" i="10"/>
  <c r="D8" i="16"/>
  <c r="A78" i="7"/>
  <c r="E78" i="7"/>
  <c r="E96" i="7"/>
  <c r="D14" i="16"/>
  <c r="F78" i="7"/>
  <c r="F96" i="7"/>
  <c r="E14" i="16"/>
  <c r="G78" i="7"/>
  <c r="G96" i="7"/>
  <c r="F14" i="16"/>
  <c r="H78" i="7"/>
  <c r="H96" i="7"/>
  <c r="G14" i="16"/>
  <c r="I78" i="7"/>
  <c r="I96" i="7"/>
  <c r="H14" i="16"/>
  <c r="J78" i="7"/>
  <c r="J96" i="7"/>
  <c r="I14" i="16"/>
  <c r="K78" i="7"/>
  <c r="K96" i="7"/>
  <c r="J14" i="16"/>
  <c r="L78" i="7"/>
  <c r="L96" i="7"/>
  <c r="K14" i="16"/>
  <c r="A66" i="6"/>
  <c r="A67" i="6"/>
  <c r="A62" i="7"/>
  <c r="E4" i="7"/>
  <c r="E62" i="7"/>
  <c r="E99" i="7"/>
  <c r="A63" i="7"/>
  <c r="E63" i="7"/>
  <c r="E100" i="7"/>
  <c r="A64" i="7"/>
  <c r="E64" i="7"/>
  <c r="E101" i="7"/>
  <c r="A65" i="7"/>
  <c r="E65" i="7"/>
  <c r="E102" i="7"/>
  <c r="E98" i="7"/>
  <c r="D16" i="16"/>
  <c r="F4" i="7"/>
  <c r="F62" i="7"/>
  <c r="F99" i="7"/>
  <c r="F63" i="7"/>
  <c r="F100" i="7"/>
  <c r="F64" i="7"/>
  <c r="F101" i="7"/>
  <c r="F65" i="7"/>
  <c r="F102" i="7"/>
  <c r="F98" i="7"/>
  <c r="E16" i="16"/>
  <c r="G4" i="7"/>
  <c r="G62" i="7"/>
  <c r="G99" i="7"/>
  <c r="G63" i="7"/>
  <c r="G100" i="7"/>
  <c r="G64" i="7"/>
  <c r="G101" i="7"/>
  <c r="G65" i="7"/>
  <c r="G102" i="7"/>
  <c r="G98" i="7"/>
  <c r="F16" i="16"/>
  <c r="H4" i="7"/>
  <c r="H62" i="7"/>
  <c r="H99" i="7"/>
  <c r="H63" i="7"/>
  <c r="H100" i="7"/>
  <c r="H64" i="7"/>
  <c r="H101" i="7"/>
  <c r="H65" i="7"/>
  <c r="H102" i="7"/>
  <c r="H98" i="7"/>
  <c r="G16" i="16"/>
  <c r="I4" i="7"/>
  <c r="I62" i="7"/>
  <c r="I99" i="7"/>
  <c r="I63" i="7"/>
  <c r="I100" i="7"/>
  <c r="I64" i="7"/>
  <c r="I101" i="7"/>
  <c r="I65" i="7"/>
  <c r="I102" i="7"/>
  <c r="I98" i="7"/>
  <c r="H16" i="16"/>
  <c r="J4" i="7"/>
  <c r="J62" i="7"/>
  <c r="J99" i="7"/>
  <c r="J63" i="7"/>
  <c r="J100" i="7"/>
  <c r="J64" i="7"/>
  <c r="J101" i="7"/>
  <c r="J65" i="7"/>
  <c r="J102" i="7"/>
  <c r="J98" i="7"/>
  <c r="I16" i="16"/>
  <c r="K4" i="7"/>
  <c r="K62" i="7"/>
  <c r="K99" i="7"/>
  <c r="K63" i="7"/>
  <c r="K100" i="7"/>
  <c r="K64" i="7"/>
  <c r="K101" i="7"/>
  <c r="K65" i="7"/>
  <c r="K102" i="7"/>
  <c r="K98" i="7"/>
  <c r="J16" i="16"/>
  <c r="L4" i="7"/>
  <c r="L62" i="7"/>
  <c r="L99" i="7"/>
  <c r="L63" i="7"/>
  <c r="L100" i="7"/>
  <c r="L64" i="7"/>
  <c r="L101" i="7"/>
  <c r="L65" i="7"/>
  <c r="L102" i="7"/>
  <c r="L98" i="7"/>
  <c r="K16" i="16"/>
  <c r="D17" i="16"/>
  <c r="E17" i="16"/>
  <c r="F17" i="16"/>
  <c r="G17" i="16"/>
  <c r="H17" i="16"/>
  <c r="I17" i="16"/>
  <c r="J17" i="16"/>
  <c r="K17" i="16"/>
  <c r="D18" i="16"/>
  <c r="E18" i="16"/>
  <c r="F18" i="16"/>
  <c r="G18" i="16"/>
  <c r="H18" i="16"/>
  <c r="I18" i="16"/>
  <c r="J18" i="16"/>
  <c r="K18" i="16"/>
  <c r="D19" i="16"/>
  <c r="E19" i="16"/>
  <c r="F19" i="16"/>
  <c r="G19" i="16"/>
  <c r="H19" i="16"/>
  <c r="I19" i="16"/>
  <c r="J19" i="16"/>
  <c r="K19" i="16"/>
  <c r="D20" i="16"/>
  <c r="E20" i="16"/>
  <c r="F20" i="16"/>
  <c r="G20" i="16"/>
  <c r="H20" i="16"/>
  <c r="I20" i="16"/>
  <c r="J20" i="16"/>
  <c r="K20" i="16"/>
  <c r="E84" i="11"/>
  <c r="F84" i="11"/>
  <c r="G84" i="11"/>
  <c r="H84" i="11"/>
  <c r="I84" i="11"/>
  <c r="J84" i="11"/>
  <c r="K84" i="11"/>
  <c r="L84" i="11"/>
  <c r="E35" i="7"/>
  <c r="E36" i="7"/>
  <c r="F35" i="7"/>
  <c r="F36" i="7"/>
  <c r="G35" i="7"/>
  <c r="G36" i="7"/>
  <c r="H35" i="7"/>
  <c r="H36" i="7"/>
  <c r="I35" i="7"/>
  <c r="I36" i="7"/>
  <c r="J35" i="7"/>
  <c r="J36" i="7"/>
  <c r="K35" i="7"/>
  <c r="K36" i="7"/>
  <c r="L35" i="7"/>
  <c r="L36" i="7"/>
  <c r="O47" i="16"/>
  <c r="D23" i="16"/>
  <c r="D47" i="16"/>
  <c r="P47" i="16"/>
  <c r="E23" i="16"/>
  <c r="E47" i="16"/>
  <c r="Q47" i="16"/>
  <c r="F23" i="16"/>
  <c r="F47" i="16"/>
  <c r="R47" i="16"/>
  <c r="G23" i="16"/>
  <c r="G47" i="16"/>
  <c r="S47" i="16"/>
  <c r="H23" i="16"/>
  <c r="H47" i="16"/>
  <c r="T47" i="16"/>
  <c r="I23" i="16"/>
  <c r="I47" i="16"/>
  <c r="U47" i="16"/>
  <c r="J23" i="16"/>
  <c r="J47" i="16"/>
  <c r="V47" i="16"/>
  <c r="K23" i="16"/>
  <c r="K47" i="16"/>
  <c r="A77" i="6"/>
  <c r="A79" i="6"/>
  <c r="A73" i="7"/>
  <c r="E72" i="7"/>
  <c r="E73" i="7"/>
  <c r="A75" i="7"/>
  <c r="E75" i="7"/>
  <c r="E106" i="7"/>
  <c r="D24" i="16"/>
  <c r="F72" i="7"/>
  <c r="F73" i="7"/>
  <c r="F75" i="7"/>
  <c r="F106" i="7"/>
  <c r="E24" i="16"/>
  <c r="G72" i="7"/>
  <c r="G73" i="7"/>
  <c r="G75" i="7"/>
  <c r="G106" i="7"/>
  <c r="F24" i="16"/>
  <c r="H72" i="7"/>
  <c r="H73" i="7"/>
  <c r="H75" i="7"/>
  <c r="H106" i="7"/>
  <c r="G24" i="16"/>
  <c r="I72" i="7"/>
  <c r="I73" i="7"/>
  <c r="I75" i="7"/>
  <c r="I106" i="7"/>
  <c r="H24" i="16"/>
  <c r="J72" i="7"/>
  <c r="J73" i="7"/>
  <c r="J75" i="7"/>
  <c r="J106" i="7"/>
  <c r="I24" i="16"/>
  <c r="K72" i="7"/>
  <c r="K73" i="7"/>
  <c r="K75" i="7"/>
  <c r="K106" i="7"/>
  <c r="J24" i="16"/>
  <c r="L72" i="7"/>
  <c r="L73" i="7"/>
  <c r="L75" i="7"/>
  <c r="L106" i="7"/>
  <c r="K24" i="16"/>
  <c r="D25" i="16"/>
  <c r="D49" i="16"/>
  <c r="E25" i="16"/>
  <c r="E49" i="16"/>
  <c r="F25" i="16"/>
  <c r="F49" i="16"/>
  <c r="G25" i="16"/>
  <c r="G49" i="16"/>
  <c r="H25" i="16"/>
  <c r="H49" i="16"/>
  <c r="I25" i="16"/>
  <c r="I49" i="16"/>
  <c r="J25" i="16"/>
  <c r="J49" i="16"/>
  <c r="K25" i="16"/>
  <c r="K49" i="16"/>
  <c r="D26" i="16"/>
  <c r="E26" i="16"/>
  <c r="F26" i="16"/>
  <c r="G26" i="16"/>
  <c r="H26" i="16"/>
  <c r="I26" i="16"/>
  <c r="J26" i="16"/>
  <c r="K26" i="16"/>
  <c r="C52" i="6"/>
  <c r="C46" i="10"/>
  <c r="F48" i="10"/>
  <c r="F70" i="10"/>
  <c r="G48" i="10"/>
  <c r="G70" i="10"/>
  <c r="H48" i="10"/>
  <c r="H70" i="10"/>
  <c r="I48" i="10"/>
  <c r="I70" i="10"/>
  <c r="J48" i="10"/>
  <c r="J70" i="10"/>
  <c r="K48" i="10"/>
  <c r="K70" i="10"/>
  <c r="L48" i="10"/>
  <c r="L70" i="10"/>
  <c r="E48" i="10"/>
  <c r="E70" i="10"/>
  <c r="J56" i="16"/>
  <c r="K56" i="16"/>
  <c r="J57" i="16"/>
  <c r="K57" i="16"/>
  <c r="J58" i="16"/>
  <c r="K58" i="16"/>
  <c r="U62" i="16"/>
  <c r="J62" i="16"/>
  <c r="V62" i="16"/>
  <c r="K62" i="16"/>
  <c r="P65" i="16"/>
  <c r="S65" i="16"/>
  <c r="H65" i="16"/>
  <c r="T65" i="16"/>
  <c r="I65" i="16" s="1"/>
  <c r="R66" i="16"/>
  <c r="O67" i="16"/>
  <c r="D67" i="16" s="1"/>
  <c r="R67" i="16"/>
  <c r="S67" i="16"/>
  <c r="H67" i="16"/>
  <c r="T67" i="16"/>
  <c r="I67" i="16"/>
  <c r="V67" i="16"/>
  <c r="K67" i="16"/>
  <c r="S68" i="16"/>
  <c r="H68" i="16"/>
  <c r="T68" i="16"/>
  <c r="I68" i="16"/>
  <c r="V68" i="16"/>
  <c r="K68" i="16"/>
  <c r="O71" i="16"/>
  <c r="D71" i="16"/>
  <c r="P71" i="16"/>
  <c r="E71" i="16"/>
  <c r="Q71" i="16"/>
  <c r="F71" i="16"/>
  <c r="R71" i="16"/>
  <c r="G71" i="16"/>
  <c r="S71" i="16"/>
  <c r="H71" i="16"/>
  <c r="T71" i="16"/>
  <c r="I71" i="16"/>
  <c r="U71" i="16"/>
  <c r="J71" i="16"/>
  <c r="V71" i="16"/>
  <c r="K71" i="16"/>
  <c r="K120" i="5"/>
  <c r="U72" i="16"/>
  <c r="J72" i="16"/>
  <c r="L120" i="5"/>
  <c r="V72" i="16"/>
  <c r="K72" i="16"/>
  <c r="O73" i="16"/>
  <c r="D73" i="16"/>
  <c r="P73" i="16"/>
  <c r="E73" i="16"/>
  <c r="Q73" i="16"/>
  <c r="F73" i="16"/>
  <c r="R73" i="16"/>
  <c r="G73" i="16"/>
  <c r="S73" i="16"/>
  <c r="H73" i="16"/>
  <c r="T73" i="16"/>
  <c r="I73" i="16"/>
  <c r="U73" i="16"/>
  <c r="J73" i="16"/>
  <c r="V73" i="16"/>
  <c r="K73" i="16"/>
  <c r="U74" i="16"/>
  <c r="J74" i="16"/>
  <c r="V74" i="16"/>
  <c r="K74" i="16"/>
  <c r="C103" i="10"/>
  <c r="D103" i="10"/>
  <c r="D101" i="10"/>
  <c r="E85" i="10"/>
  <c r="D102" i="9"/>
  <c r="C104" i="9"/>
  <c r="D104" i="9"/>
  <c r="I60" i="9"/>
  <c r="J60" i="9"/>
  <c r="K60" i="9"/>
  <c r="L60" i="9"/>
  <c r="M32" i="5"/>
  <c r="B60" i="14"/>
  <c r="B50" i="14"/>
  <c r="B52" i="14"/>
  <c r="B49" i="14"/>
  <c r="H44" i="14"/>
  <c r="G44" i="14"/>
  <c r="F44" i="14"/>
  <c r="C16" i="14"/>
  <c r="C25" i="14"/>
  <c r="C26" i="14"/>
  <c r="C21" i="14"/>
  <c r="C22" i="14"/>
  <c r="C18" i="14"/>
  <c r="D173" i="13"/>
  <c r="I172" i="13"/>
  <c r="I164" i="13"/>
  <c r="F149" i="13"/>
  <c r="I150" i="13"/>
  <c r="F150" i="13"/>
  <c r="I149" i="13"/>
  <c r="J149" i="13"/>
  <c r="K149" i="13"/>
  <c r="B119" i="13"/>
  <c r="B120" i="13"/>
  <c r="B113" i="13"/>
  <c r="B114" i="13"/>
  <c r="B109" i="13"/>
  <c r="B123" i="13"/>
  <c r="B115" i="13"/>
  <c r="B122" i="13"/>
  <c r="C100" i="13"/>
  <c r="C99" i="13"/>
  <c r="D84" i="13"/>
  <c r="L67" i="13"/>
  <c r="K66" i="13"/>
  <c r="D66" i="13"/>
  <c r="I66" i="13"/>
  <c r="L65" i="13"/>
  <c r="I65" i="13"/>
  <c r="D37" i="13"/>
  <c r="D34" i="13"/>
  <c r="D31" i="13"/>
  <c r="D38" i="13"/>
  <c r="D49" i="13"/>
  <c r="E8" i="13"/>
  <c r="E13" i="13"/>
  <c r="C8" i="13"/>
  <c r="C13" i="13"/>
  <c r="G8" i="13"/>
  <c r="A64" i="11"/>
  <c r="E65" i="11"/>
  <c r="L64" i="11"/>
  <c r="K64" i="11"/>
  <c r="J64" i="11"/>
  <c r="I64" i="11"/>
  <c r="H64" i="11"/>
  <c r="G64" i="11"/>
  <c r="F64" i="11"/>
  <c r="E64" i="11"/>
  <c r="D10" i="11"/>
  <c r="D11" i="11"/>
  <c r="D64" i="11"/>
  <c r="L62" i="11"/>
  <c r="L63" i="11" s="1"/>
  <c r="A62" i="11"/>
  <c r="K62" i="11"/>
  <c r="K63" i="11" s="1"/>
  <c r="J62" i="11"/>
  <c r="J63" i="11"/>
  <c r="I62" i="11"/>
  <c r="I63" i="11" s="1"/>
  <c r="H62" i="11"/>
  <c r="H63" i="11"/>
  <c r="G62" i="11"/>
  <c r="G63" i="11" s="1"/>
  <c r="F62" i="11"/>
  <c r="F63" i="11" s="1"/>
  <c r="E62" i="11"/>
  <c r="E63" i="11" s="1"/>
  <c r="D62" i="11"/>
  <c r="D63" i="11"/>
  <c r="D3" i="11"/>
  <c r="D60" i="11"/>
  <c r="L59" i="11"/>
  <c r="K59" i="11"/>
  <c r="J59" i="11"/>
  <c r="I59" i="11"/>
  <c r="H59" i="11"/>
  <c r="G59" i="11"/>
  <c r="F59" i="11"/>
  <c r="E59" i="11"/>
  <c r="D59" i="11"/>
  <c r="A58" i="11"/>
  <c r="L58" i="11"/>
  <c r="K58" i="11"/>
  <c r="J58" i="11"/>
  <c r="I58" i="11"/>
  <c r="H58" i="11"/>
  <c r="G58" i="11"/>
  <c r="F58" i="11"/>
  <c r="E58" i="11"/>
  <c r="D58" i="11"/>
  <c r="D56" i="11"/>
  <c r="D55" i="11"/>
  <c r="L53" i="11"/>
  <c r="K53" i="11"/>
  <c r="J53" i="11"/>
  <c r="I53" i="11"/>
  <c r="H53" i="11"/>
  <c r="G53" i="11"/>
  <c r="F53" i="11"/>
  <c r="E53" i="11"/>
  <c r="D53" i="11"/>
  <c r="D52" i="11"/>
  <c r="D51" i="11"/>
  <c r="D50" i="11"/>
  <c r="D48" i="11"/>
  <c r="L47" i="11"/>
  <c r="K47" i="11"/>
  <c r="J47" i="11"/>
  <c r="I47" i="11"/>
  <c r="H47" i="11"/>
  <c r="G47" i="11"/>
  <c r="F47" i="11"/>
  <c r="E47" i="11"/>
  <c r="D47" i="11"/>
  <c r="D42" i="11"/>
  <c r="L43" i="11"/>
  <c r="K43" i="11"/>
  <c r="J43" i="11"/>
  <c r="I43" i="11"/>
  <c r="H43" i="11"/>
  <c r="G43" i="11"/>
  <c r="F43" i="11"/>
  <c r="E43" i="11"/>
  <c r="D43" i="11"/>
  <c r="D39" i="11"/>
  <c r="D24" i="11"/>
  <c r="D38" i="11"/>
  <c r="D40" i="11"/>
  <c r="D28" i="11"/>
  <c r="F26" i="11"/>
  <c r="G26" i="11"/>
  <c r="H26" i="11"/>
  <c r="I26" i="11"/>
  <c r="J26" i="11"/>
  <c r="K26" i="11"/>
  <c r="L26" i="11"/>
  <c r="L25" i="11"/>
  <c r="K25" i="11"/>
  <c r="J25" i="11"/>
  <c r="I25" i="11"/>
  <c r="H25" i="11"/>
  <c r="G25" i="11"/>
  <c r="F25" i="11"/>
  <c r="E25" i="11"/>
  <c r="D25" i="11"/>
  <c r="L23" i="11"/>
  <c r="K23" i="11"/>
  <c r="J23" i="11"/>
  <c r="I23" i="11"/>
  <c r="H23" i="11"/>
  <c r="G23" i="11"/>
  <c r="F23" i="11"/>
  <c r="E23" i="11"/>
  <c r="L22" i="11"/>
  <c r="K22" i="11"/>
  <c r="J22" i="11"/>
  <c r="I22" i="11"/>
  <c r="H22" i="11"/>
  <c r="G22" i="11"/>
  <c r="F22" i="11"/>
  <c r="E22" i="11"/>
  <c r="D22" i="11"/>
  <c r="L14" i="11"/>
  <c r="K14" i="11"/>
  <c r="J14" i="11"/>
  <c r="I14" i="11"/>
  <c r="H14" i="11"/>
  <c r="G14" i="11"/>
  <c r="F14" i="11"/>
  <c r="E14" i="11"/>
  <c r="D14" i="11"/>
  <c r="P8" i="11"/>
  <c r="F8" i="11"/>
  <c r="E66" i="10"/>
  <c r="D10" i="10"/>
  <c r="D11" i="10"/>
  <c r="D65" i="10"/>
  <c r="L63" i="10"/>
  <c r="L64" i="10" s="1"/>
  <c r="A63" i="10"/>
  <c r="K63" i="10"/>
  <c r="K64" i="10" s="1"/>
  <c r="J63" i="10"/>
  <c r="J64" i="10" s="1"/>
  <c r="I63" i="10"/>
  <c r="I64" i="10"/>
  <c r="H63" i="10"/>
  <c r="H64" i="10" s="1"/>
  <c r="G63" i="10"/>
  <c r="G64" i="10" s="1"/>
  <c r="F63" i="10"/>
  <c r="F64" i="10" s="1"/>
  <c r="E63" i="10"/>
  <c r="E64" i="10" s="1"/>
  <c r="D63" i="10"/>
  <c r="D64" i="10"/>
  <c r="D3" i="10"/>
  <c r="D61" i="10"/>
  <c r="E60" i="10"/>
  <c r="D60" i="10"/>
  <c r="A59" i="10"/>
  <c r="L59" i="10"/>
  <c r="K59" i="10"/>
  <c r="J59" i="10"/>
  <c r="I59" i="10"/>
  <c r="H59" i="10"/>
  <c r="G59" i="10"/>
  <c r="F59" i="10"/>
  <c r="E59" i="10"/>
  <c r="D59" i="10"/>
  <c r="D56" i="10"/>
  <c r="D55" i="10"/>
  <c r="D52" i="10"/>
  <c r="D51" i="10"/>
  <c r="D50" i="10"/>
  <c r="D48" i="10"/>
  <c r="L47" i="10"/>
  <c r="K47" i="10"/>
  <c r="J47" i="10"/>
  <c r="I47" i="10"/>
  <c r="H47" i="10"/>
  <c r="G47" i="10"/>
  <c r="F47" i="10"/>
  <c r="E47" i="10"/>
  <c r="D47" i="10"/>
  <c r="D42" i="10"/>
  <c r="L43" i="10"/>
  <c r="K43" i="10"/>
  <c r="J43" i="10"/>
  <c r="I43" i="10"/>
  <c r="H43" i="10"/>
  <c r="G43" i="10"/>
  <c r="F43" i="10"/>
  <c r="E43" i="10"/>
  <c r="D43" i="10"/>
  <c r="D39" i="10"/>
  <c r="D24" i="10"/>
  <c r="D38" i="10"/>
  <c r="D40" i="10"/>
  <c r="L26" i="10"/>
  <c r="K26" i="10"/>
  <c r="J26" i="10"/>
  <c r="I26" i="10"/>
  <c r="H26" i="10"/>
  <c r="G26" i="10"/>
  <c r="F26" i="10"/>
  <c r="L25" i="10"/>
  <c r="K25" i="10"/>
  <c r="J25" i="10"/>
  <c r="I25" i="10"/>
  <c r="H25" i="10"/>
  <c r="G25" i="10"/>
  <c r="F25" i="10"/>
  <c r="E25" i="10"/>
  <c r="D25" i="10"/>
  <c r="E23" i="10"/>
  <c r="L22" i="10"/>
  <c r="K22" i="10"/>
  <c r="J22" i="10"/>
  <c r="I22" i="10"/>
  <c r="H22" i="10"/>
  <c r="G22" i="10"/>
  <c r="F22" i="10"/>
  <c r="E22" i="10"/>
  <c r="D22" i="10"/>
  <c r="L14" i="10"/>
  <c r="K14" i="10"/>
  <c r="J14" i="10"/>
  <c r="I14" i="10"/>
  <c r="H14" i="10"/>
  <c r="G14" i="10"/>
  <c r="F14" i="10"/>
  <c r="E14" i="10"/>
  <c r="D14" i="10"/>
  <c r="P8" i="10"/>
  <c r="F8" i="10"/>
  <c r="L64" i="9"/>
  <c r="L65" i="9" s="1"/>
  <c r="A64" i="9"/>
  <c r="K64" i="9"/>
  <c r="K65" i="9"/>
  <c r="J64" i="9"/>
  <c r="J65" i="9" s="1"/>
  <c r="I64" i="9"/>
  <c r="I65" i="9"/>
  <c r="H64" i="9"/>
  <c r="H65" i="9" s="1"/>
  <c r="G64" i="9"/>
  <c r="G65" i="9" s="1"/>
  <c r="F64" i="9"/>
  <c r="F65" i="9" s="1"/>
  <c r="E64" i="9"/>
  <c r="E65" i="9"/>
  <c r="D64" i="9"/>
  <c r="D65" i="9"/>
  <c r="E61" i="9"/>
  <c r="D61" i="9"/>
  <c r="D49" i="9"/>
  <c r="L48" i="9"/>
  <c r="K48" i="9"/>
  <c r="J48" i="9"/>
  <c r="I48" i="9"/>
  <c r="H48" i="9"/>
  <c r="G48" i="9"/>
  <c r="E48" i="9"/>
  <c r="L44" i="9"/>
  <c r="K44" i="9"/>
  <c r="J44" i="9"/>
  <c r="I44" i="9"/>
  <c r="L27" i="9"/>
  <c r="K27" i="9"/>
  <c r="J27" i="9"/>
  <c r="I27" i="9"/>
  <c r="L26" i="9"/>
  <c r="K26" i="9"/>
  <c r="J26" i="9"/>
  <c r="I26" i="9"/>
  <c r="L22" i="9"/>
  <c r="K22" i="9"/>
  <c r="J22" i="9"/>
  <c r="I22" i="9"/>
  <c r="L14" i="9"/>
  <c r="K14" i="9"/>
  <c r="J14" i="9"/>
  <c r="I14" i="9"/>
  <c r="R8" i="9"/>
  <c r="G8" i="9"/>
  <c r="E85" i="7"/>
  <c r="L82" i="7"/>
  <c r="L83" i="7" s="1"/>
  <c r="A82" i="7"/>
  <c r="K82" i="7"/>
  <c r="K83" i="7"/>
  <c r="J82" i="7"/>
  <c r="J83" i="7" s="1"/>
  <c r="I82" i="7"/>
  <c r="I83" i="7"/>
  <c r="H82" i="7"/>
  <c r="H83" i="7" s="1"/>
  <c r="G82" i="7"/>
  <c r="G83" i="7" s="1"/>
  <c r="F82" i="7"/>
  <c r="F83" i="7"/>
  <c r="E82" i="7"/>
  <c r="E83" i="7" s="1"/>
  <c r="D82" i="7"/>
  <c r="D83" i="7"/>
  <c r="A80" i="7"/>
  <c r="L80" i="7"/>
  <c r="K80" i="7"/>
  <c r="J80" i="7"/>
  <c r="I80" i="7"/>
  <c r="H80" i="7"/>
  <c r="G80" i="7"/>
  <c r="F80" i="7"/>
  <c r="E80" i="7"/>
  <c r="A79" i="7"/>
  <c r="L79" i="7"/>
  <c r="K79" i="7"/>
  <c r="J79" i="7"/>
  <c r="I79" i="7"/>
  <c r="H79" i="7"/>
  <c r="G79" i="7"/>
  <c r="F79" i="7"/>
  <c r="E79" i="7"/>
  <c r="D79" i="7"/>
  <c r="D78" i="7"/>
  <c r="L76" i="7"/>
  <c r="K76" i="7"/>
  <c r="J76" i="7"/>
  <c r="I76" i="7"/>
  <c r="H76" i="7"/>
  <c r="G76" i="7"/>
  <c r="F76" i="7"/>
  <c r="E76" i="7"/>
  <c r="D76" i="7"/>
  <c r="D75" i="7"/>
  <c r="L74" i="7"/>
  <c r="K74" i="7"/>
  <c r="J74" i="7"/>
  <c r="I74" i="7"/>
  <c r="H74" i="7"/>
  <c r="G74" i="7"/>
  <c r="F74" i="7"/>
  <c r="E74" i="7"/>
  <c r="D74" i="7"/>
  <c r="D72" i="7"/>
  <c r="D73" i="7"/>
  <c r="A69" i="7"/>
  <c r="A68" i="7"/>
  <c r="A67" i="7"/>
  <c r="D62" i="7"/>
  <c r="O62" i="7"/>
  <c r="D63" i="7"/>
  <c r="O63" i="7"/>
  <c r="D64" i="7"/>
  <c r="O64" i="7"/>
  <c r="D65" i="7"/>
  <c r="O65" i="7"/>
  <c r="O66" i="7"/>
  <c r="D60" i="7"/>
  <c r="E29" i="7"/>
  <c r="E60" i="7"/>
  <c r="F29" i="7"/>
  <c r="F60" i="7"/>
  <c r="G29" i="7"/>
  <c r="G60" i="7"/>
  <c r="H29" i="7"/>
  <c r="H60" i="7"/>
  <c r="I29" i="7"/>
  <c r="I60" i="7"/>
  <c r="J29" i="7"/>
  <c r="J60" i="7"/>
  <c r="K29" i="7"/>
  <c r="K60" i="7"/>
  <c r="L29" i="7"/>
  <c r="L60" i="7"/>
  <c r="Q60" i="7"/>
  <c r="D59" i="7"/>
  <c r="E59" i="7"/>
  <c r="F59" i="7"/>
  <c r="G59" i="7"/>
  <c r="H59" i="7"/>
  <c r="I59" i="7"/>
  <c r="J59" i="7"/>
  <c r="K59" i="7"/>
  <c r="L59" i="7"/>
  <c r="Q59" i="7"/>
  <c r="D58" i="7"/>
  <c r="Q58" i="7"/>
  <c r="O58" i="7"/>
  <c r="P58" i="7"/>
  <c r="D57" i="7"/>
  <c r="D56" i="7"/>
  <c r="D55" i="7"/>
  <c r="D54" i="7"/>
  <c r="A54" i="7"/>
  <c r="L39" i="7"/>
  <c r="L43" i="7"/>
  <c r="L52" i="7"/>
  <c r="K39" i="7"/>
  <c r="K43" i="7"/>
  <c r="K52" i="7"/>
  <c r="J39" i="7"/>
  <c r="J43" i="7"/>
  <c r="J52" i="7"/>
  <c r="I39" i="7"/>
  <c r="I43" i="7"/>
  <c r="I52" i="7"/>
  <c r="H39" i="7"/>
  <c r="H43" i="7"/>
  <c r="H52" i="7"/>
  <c r="G39" i="7"/>
  <c r="G43" i="7"/>
  <c r="G52" i="7"/>
  <c r="F39" i="7"/>
  <c r="F43" i="7"/>
  <c r="F52" i="7"/>
  <c r="E39" i="7"/>
  <c r="E43" i="7"/>
  <c r="E52" i="7"/>
  <c r="D36" i="7"/>
  <c r="D41" i="7"/>
  <c r="D39" i="7"/>
  <c r="D43" i="7"/>
  <c r="D52" i="7"/>
  <c r="A52" i="7"/>
  <c r="D51" i="7"/>
  <c r="L50" i="7"/>
  <c r="K50" i="7"/>
  <c r="J50" i="7"/>
  <c r="I50" i="7"/>
  <c r="H50" i="7"/>
  <c r="G50" i="7"/>
  <c r="F50" i="7"/>
  <c r="E50" i="7"/>
  <c r="D50" i="7"/>
  <c r="D44" i="7"/>
  <c r="L45" i="7"/>
  <c r="L47" i="7"/>
  <c r="K45" i="7"/>
  <c r="K47" i="7"/>
  <c r="J45" i="7"/>
  <c r="J47" i="7"/>
  <c r="I45" i="7"/>
  <c r="I47" i="7"/>
  <c r="H45" i="7"/>
  <c r="H47" i="7"/>
  <c r="G45" i="7"/>
  <c r="G47" i="7"/>
  <c r="F45" i="7"/>
  <c r="F47" i="7"/>
  <c r="E45" i="7"/>
  <c r="E47" i="7"/>
  <c r="D45" i="7"/>
  <c r="D37" i="7"/>
  <c r="D47" i="7"/>
  <c r="L46" i="7"/>
  <c r="K46" i="7"/>
  <c r="J46" i="7"/>
  <c r="I46" i="7"/>
  <c r="H46" i="7"/>
  <c r="G46" i="7"/>
  <c r="F46" i="7"/>
  <c r="E46" i="7"/>
  <c r="D46" i="7"/>
  <c r="D40" i="7"/>
  <c r="D42" i="7"/>
  <c r="A33" i="7"/>
  <c r="A31" i="7"/>
  <c r="A30" i="7"/>
  <c r="A28" i="7"/>
  <c r="A29" i="7"/>
  <c r="D28" i="7"/>
  <c r="E26" i="7"/>
  <c r="F26" i="7"/>
  <c r="G26" i="7"/>
  <c r="H26" i="7"/>
  <c r="I26" i="7"/>
  <c r="J26" i="7"/>
  <c r="K26" i="7"/>
  <c r="L26" i="7"/>
  <c r="L25" i="7"/>
  <c r="K25" i="7"/>
  <c r="J25" i="7"/>
  <c r="I25" i="7"/>
  <c r="H25" i="7"/>
  <c r="G25" i="7"/>
  <c r="F25" i="7"/>
  <c r="E25" i="7"/>
  <c r="D25" i="7"/>
  <c r="O24" i="7"/>
  <c r="P23" i="7"/>
  <c r="O23" i="7"/>
  <c r="L22" i="7"/>
  <c r="K22" i="7"/>
  <c r="J22" i="7"/>
  <c r="I22" i="7"/>
  <c r="H22" i="7"/>
  <c r="G22" i="7"/>
  <c r="F22" i="7"/>
  <c r="E22" i="7"/>
  <c r="D22" i="7"/>
  <c r="Q19" i="7"/>
  <c r="O16" i="7"/>
  <c r="R17" i="7"/>
  <c r="O17" i="7"/>
  <c r="P16" i="7"/>
  <c r="L14" i="7"/>
  <c r="K14" i="7"/>
  <c r="J14" i="7"/>
  <c r="I14" i="7"/>
  <c r="H14" i="7"/>
  <c r="G14" i="7"/>
  <c r="F14" i="7"/>
  <c r="E14" i="7"/>
  <c r="D14" i="7"/>
  <c r="D12" i="7"/>
  <c r="E12" i="7"/>
  <c r="F12" i="7"/>
  <c r="G12" i="7"/>
  <c r="H12" i="7"/>
  <c r="I12" i="7"/>
  <c r="J12" i="7"/>
  <c r="K12" i="7"/>
  <c r="L12" i="7"/>
  <c r="O12" i="7"/>
  <c r="L5" i="7"/>
  <c r="K5" i="7"/>
  <c r="J5" i="7"/>
  <c r="I5" i="7"/>
  <c r="H5" i="7"/>
  <c r="G5" i="7"/>
  <c r="F5" i="7"/>
  <c r="E5" i="7"/>
  <c r="D5" i="7"/>
  <c r="O4" i="7"/>
  <c r="L87" i="6"/>
  <c r="L88" i="6" s="1"/>
  <c r="A87" i="6"/>
  <c r="K87" i="6"/>
  <c r="K88" i="6" s="1"/>
  <c r="J87" i="6"/>
  <c r="J88" i="6" s="1"/>
  <c r="I87" i="6"/>
  <c r="I88" i="6" s="1"/>
  <c r="H87" i="6"/>
  <c r="H88" i="6" s="1"/>
  <c r="G87" i="6"/>
  <c r="G88" i="6"/>
  <c r="F87" i="6"/>
  <c r="F88" i="6" s="1"/>
  <c r="E87" i="6"/>
  <c r="E88" i="6"/>
  <c r="D87" i="6"/>
  <c r="D88" i="6"/>
  <c r="A85" i="6"/>
  <c r="A84" i="6"/>
  <c r="D66" i="6"/>
  <c r="O66" i="6" s="1"/>
  <c r="D67" i="6"/>
  <c r="O62" i="6"/>
  <c r="P62" i="6"/>
  <c r="A55" i="6"/>
  <c r="A36" i="6"/>
  <c r="O23" i="6"/>
  <c r="L22" i="6"/>
  <c r="K22" i="6"/>
  <c r="J22" i="6"/>
  <c r="I22" i="6"/>
  <c r="H22" i="6"/>
  <c r="G22" i="6"/>
  <c r="F22" i="6"/>
  <c r="E22" i="6"/>
  <c r="D22" i="6"/>
  <c r="Q19" i="6"/>
  <c r="O16" i="6"/>
  <c r="R17" i="6"/>
  <c r="O17" i="6"/>
  <c r="P16" i="6"/>
  <c r="D12" i="6"/>
  <c r="L94" i="5"/>
  <c r="A94" i="5"/>
  <c r="L95" i="5"/>
  <c r="K94" i="5"/>
  <c r="K95" i="5" s="1"/>
  <c r="J94" i="5"/>
  <c r="J95" i="5"/>
  <c r="I94" i="5"/>
  <c r="I95" i="5" s="1"/>
  <c r="H94" i="5"/>
  <c r="H95" i="5" s="1"/>
  <c r="G94" i="5"/>
  <c r="G95" i="5" s="1"/>
  <c r="F94" i="5"/>
  <c r="F95" i="5" s="1"/>
  <c r="E94" i="5"/>
  <c r="E95" i="5" s="1"/>
  <c r="D94" i="5"/>
  <c r="D95" i="5"/>
  <c r="A92" i="5"/>
  <c r="L92" i="5"/>
  <c r="K92" i="5"/>
  <c r="L91" i="5"/>
  <c r="K91" i="5"/>
  <c r="N67" i="5"/>
  <c r="O67" i="5"/>
  <c r="A60" i="5"/>
  <c r="A35" i="5"/>
  <c r="A32" i="5"/>
  <c r="N24" i="5"/>
  <c r="L23" i="5"/>
  <c r="K23" i="5"/>
  <c r="J23" i="5"/>
  <c r="I23" i="5"/>
  <c r="H23" i="5"/>
  <c r="G23" i="5"/>
  <c r="E23" i="5"/>
  <c r="D23" i="5"/>
  <c r="P20" i="5"/>
  <c r="N17" i="5"/>
  <c r="Q18" i="5"/>
  <c r="N18" i="5"/>
  <c r="O17" i="5"/>
  <c r="L15" i="5"/>
  <c r="K15" i="5"/>
  <c r="D13" i="5"/>
  <c r="E13" i="5"/>
  <c r="F13" i="5"/>
  <c r="G13" i="5"/>
  <c r="H13" i="5"/>
  <c r="I13" i="5"/>
  <c r="J13" i="5"/>
  <c r="L13" i="5"/>
  <c r="A91" i="4"/>
  <c r="E92" i="4"/>
  <c r="G12" i="4"/>
  <c r="L13" i="4"/>
  <c r="L19" i="4"/>
  <c r="L20" i="4"/>
  <c r="L91" i="4"/>
  <c r="K19" i="4"/>
  <c r="K20" i="4"/>
  <c r="K91" i="4"/>
  <c r="J19" i="4"/>
  <c r="J20" i="4"/>
  <c r="J91" i="4"/>
  <c r="I19" i="4"/>
  <c r="I20" i="4"/>
  <c r="I91" i="4"/>
  <c r="H19" i="4"/>
  <c r="H20" i="4"/>
  <c r="H91" i="4"/>
  <c r="G19" i="4"/>
  <c r="G20" i="4"/>
  <c r="G91" i="4"/>
  <c r="F19" i="4"/>
  <c r="F20" i="4"/>
  <c r="F91" i="4"/>
  <c r="E19" i="4"/>
  <c r="E20" i="4"/>
  <c r="E91" i="4"/>
  <c r="D19" i="4"/>
  <c r="D20" i="4"/>
  <c r="D91" i="4"/>
  <c r="L89" i="4"/>
  <c r="A89" i="4"/>
  <c r="L90" i="4"/>
  <c r="K89" i="4"/>
  <c r="K90" i="4" s="1"/>
  <c r="J89" i="4"/>
  <c r="J90" i="4"/>
  <c r="I89" i="4"/>
  <c r="I90" i="4" s="1"/>
  <c r="H89" i="4"/>
  <c r="H90" i="4" s="1"/>
  <c r="G89" i="4"/>
  <c r="G90" i="4" s="1"/>
  <c r="F89" i="4"/>
  <c r="F90" i="4" s="1"/>
  <c r="E89" i="4"/>
  <c r="E90" i="4" s="1"/>
  <c r="D89" i="4"/>
  <c r="D90" i="4"/>
  <c r="A87" i="4"/>
  <c r="L87" i="4"/>
  <c r="K87" i="4"/>
  <c r="J87" i="4"/>
  <c r="I87" i="4"/>
  <c r="H87" i="4"/>
  <c r="G87" i="4"/>
  <c r="F87" i="4"/>
  <c r="E87" i="4"/>
  <c r="A86" i="4"/>
  <c r="D86" i="4"/>
  <c r="E86" i="4"/>
  <c r="F86" i="4"/>
  <c r="G86" i="4"/>
  <c r="H86" i="4"/>
  <c r="I86" i="4"/>
  <c r="J86" i="4"/>
  <c r="K86" i="4"/>
  <c r="L86" i="4"/>
  <c r="M86" i="4"/>
  <c r="A85" i="4"/>
  <c r="D85" i="4"/>
  <c r="E14" i="4"/>
  <c r="E85" i="4"/>
  <c r="F14" i="4"/>
  <c r="F85" i="4"/>
  <c r="G14" i="4"/>
  <c r="G85" i="4"/>
  <c r="H14" i="4"/>
  <c r="H85" i="4"/>
  <c r="I14" i="4"/>
  <c r="I85" i="4"/>
  <c r="J14" i="4"/>
  <c r="J85" i="4"/>
  <c r="K14" i="4"/>
  <c r="K85" i="4"/>
  <c r="L14" i="4"/>
  <c r="L85" i="4"/>
  <c r="M85" i="4"/>
  <c r="O83" i="4"/>
  <c r="N83" i="4"/>
  <c r="A80" i="4"/>
  <c r="D83" i="4"/>
  <c r="E83" i="4"/>
  <c r="F83" i="4"/>
  <c r="G83" i="4"/>
  <c r="H83" i="4"/>
  <c r="I83" i="4"/>
  <c r="J83" i="4"/>
  <c r="K83" i="4"/>
  <c r="L83" i="4"/>
  <c r="M83" i="4"/>
  <c r="O82" i="4"/>
  <c r="M14" i="4"/>
  <c r="N82" i="4"/>
  <c r="A82" i="4"/>
  <c r="D82" i="4"/>
  <c r="E82" i="4"/>
  <c r="F82" i="4"/>
  <c r="G82" i="4"/>
  <c r="H82" i="4"/>
  <c r="I82" i="4"/>
  <c r="J82" i="4"/>
  <c r="K82" i="4"/>
  <c r="L82" i="4"/>
  <c r="M82" i="4"/>
  <c r="O81" i="4"/>
  <c r="N81" i="4"/>
  <c r="D81" i="4"/>
  <c r="E81" i="4"/>
  <c r="F81" i="4"/>
  <c r="G81" i="4"/>
  <c r="H81" i="4"/>
  <c r="I81" i="4"/>
  <c r="J81" i="4"/>
  <c r="K81" i="4"/>
  <c r="L81" i="4"/>
  <c r="M81" i="4"/>
  <c r="O80" i="4"/>
  <c r="N80" i="4"/>
  <c r="D79" i="4"/>
  <c r="D80" i="4"/>
  <c r="E79" i="4"/>
  <c r="E80" i="4"/>
  <c r="F79" i="4"/>
  <c r="F80" i="4"/>
  <c r="G79" i="4"/>
  <c r="G80" i="4"/>
  <c r="H79" i="4"/>
  <c r="H80" i="4"/>
  <c r="I79" i="4"/>
  <c r="I80" i="4"/>
  <c r="J79" i="4"/>
  <c r="J80" i="4"/>
  <c r="K79" i="4"/>
  <c r="K80" i="4"/>
  <c r="L79" i="4"/>
  <c r="L80" i="4"/>
  <c r="M80" i="4"/>
  <c r="A72" i="4"/>
  <c r="L72" i="4"/>
  <c r="K72" i="4"/>
  <c r="J72" i="4"/>
  <c r="I72" i="4"/>
  <c r="H72" i="4"/>
  <c r="G72" i="4"/>
  <c r="F72" i="4"/>
  <c r="E72" i="4"/>
  <c r="D72" i="4"/>
  <c r="A71" i="4"/>
  <c r="L71" i="4"/>
  <c r="K71" i="4"/>
  <c r="J71" i="4"/>
  <c r="I71" i="4"/>
  <c r="H71" i="4"/>
  <c r="G71" i="4"/>
  <c r="F71" i="4"/>
  <c r="E71" i="4"/>
  <c r="D71" i="4"/>
  <c r="M69" i="4"/>
  <c r="M70" i="4"/>
  <c r="L69" i="4"/>
  <c r="K69" i="4"/>
  <c r="J69" i="4"/>
  <c r="I69" i="4"/>
  <c r="H69" i="4"/>
  <c r="G69" i="4"/>
  <c r="F69" i="4"/>
  <c r="E69" i="4"/>
  <c r="D69" i="4"/>
  <c r="A69" i="4"/>
  <c r="A68" i="4"/>
  <c r="L68" i="4"/>
  <c r="K68" i="4"/>
  <c r="J68" i="4"/>
  <c r="I68" i="4"/>
  <c r="H68" i="4"/>
  <c r="G68" i="4"/>
  <c r="F68" i="4"/>
  <c r="E68" i="4"/>
  <c r="D68" i="4"/>
  <c r="L66" i="4"/>
  <c r="K66" i="4"/>
  <c r="J66" i="4"/>
  <c r="I66" i="4"/>
  <c r="H66" i="4"/>
  <c r="G66" i="4"/>
  <c r="F66" i="4"/>
  <c r="E66" i="4"/>
  <c r="D66" i="4"/>
  <c r="L65" i="4"/>
  <c r="K65" i="4"/>
  <c r="J65" i="4"/>
  <c r="I65" i="4"/>
  <c r="H65" i="4"/>
  <c r="G65" i="4"/>
  <c r="F65" i="4"/>
  <c r="E65" i="4"/>
  <c r="D65" i="4"/>
  <c r="L64" i="4"/>
  <c r="K64" i="4"/>
  <c r="J64" i="4"/>
  <c r="I64" i="4"/>
  <c r="H64" i="4"/>
  <c r="G64" i="4"/>
  <c r="F64" i="4"/>
  <c r="E64" i="4"/>
  <c r="D64" i="4"/>
  <c r="L63" i="4"/>
  <c r="K63" i="4"/>
  <c r="J63" i="4"/>
  <c r="I63" i="4"/>
  <c r="H63" i="4"/>
  <c r="G63" i="4"/>
  <c r="F63" i="4"/>
  <c r="E63" i="4"/>
  <c r="D63" i="4"/>
  <c r="L62" i="4"/>
  <c r="K62" i="4"/>
  <c r="J62" i="4"/>
  <c r="I62" i="4"/>
  <c r="H62" i="4"/>
  <c r="G62" i="4"/>
  <c r="F62" i="4"/>
  <c r="E62" i="4"/>
  <c r="D62" i="4"/>
  <c r="L61" i="4"/>
  <c r="K61" i="4"/>
  <c r="J61" i="4"/>
  <c r="I61" i="4"/>
  <c r="H61" i="4"/>
  <c r="G61" i="4"/>
  <c r="F61" i="4"/>
  <c r="E61" i="4"/>
  <c r="D61" i="4"/>
  <c r="L60" i="4"/>
  <c r="K60" i="4"/>
  <c r="J60" i="4"/>
  <c r="I60" i="4"/>
  <c r="H60" i="4"/>
  <c r="G60" i="4"/>
  <c r="F60" i="4"/>
  <c r="E60" i="4"/>
  <c r="D60" i="4"/>
  <c r="A60" i="4"/>
  <c r="C57" i="4"/>
  <c r="L59" i="4"/>
  <c r="K59" i="4"/>
  <c r="J59" i="4"/>
  <c r="I59" i="4"/>
  <c r="H59" i="4"/>
  <c r="G59" i="4"/>
  <c r="F59" i="4"/>
  <c r="E59" i="4"/>
  <c r="D59" i="4"/>
  <c r="L58" i="4"/>
  <c r="K58" i="4"/>
  <c r="J58" i="4"/>
  <c r="I58" i="4"/>
  <c r="H58" i="4"/>
  <c r="G58" i="4"/>
  <c r="F58" i="4"/>
  <c r="E58" i="4"/>
  <c r="D58" i="4"/>
  <c r="M51" i="4"/>
  <c r="D51" i="4"/>
  <c r="D33" i="4"/>
  <c r="D45" i="4"/>
  <c r="D37" i="4"/>
  <c r="D42" i="4"/>
  <c r="D43" i="4"/>
  <c r="D53" i="4"/>
  <c r="E51" i="4"/>
  <c r="E33" i="4"/>
  <c r="E45" i="4"/>
  <c r="E37" i="4"/>
  <c r="E42" i="4"/>
  <c r="E43" i="4"/>
  <c r="E53" i="4"/>
  <c r="F51" i="4"/>
  <c r="F33" i="4"/>
  <c r="F45" i="4"/>
  <c r="F37" i="4"/>
  <c r="F42" i="4"/>
  <c r="F43" i="4"/>
  <c r="F53" i="4"/>
  <c r="G51" i="4"/>
  <c r="G33" i="4"/>
  <c r="G45" i="4"/>
  <c r="G37" i="4"/>
  <c r="G42" i="4"/>
  <c r="G43" i="4"/>
  <c r="G53" i="4"/>
  <c r="H51" i="4"/>
  <c r="H33" i="4"/>
  <c r="H45" i="4"/>
  <c r="H37" i="4"/>
  <c r="H42" i="4"/>
  <c r="H43" i="4"/>
  <c r="H53" i="4"/>
  <c r="I51" i="4"/>
  <c r="I33" i="4"/>
  <c r="I45" i="4"/>
  <c r="I37" i="4"/>
  <c r="I42" i="4"/>
  <c r="I43" i="4"/>
  <c r="I53" i="4"/>
  <c r="J51" i="4"/>
  <c r="J33" i="4"/>
  <c r="J45" i="4"/>
  <c r="J37" i="4"/>
  <c r="J42" i="4"/>
  <c r="J43" i="4"/>
  <c r="J53" i="4"/>
  <c r="K51" i="4"/>
  <c r="K33" i="4"/>
  <c r="K45" i="4"/>
  <c r="K37" i="4"/>
  <c r="K42" i="4"/>
  <c r="K43" i="4"/>
  <c r="K53" i="4"/>
  <c r="L51" i="4"/>
  <c r="L33" i="4"/>
  <c r="L45" i="4"/>
  <c r="L37" i="4"/>
  <c r="L42" i="4"/>
  <c r="L43" i="4"/>
  <c r="L53" i="4"/>
  <c r="O53" i="4"/>
  <c r="D52" i="4"/>
  <c r="E52" i="4"/>
  <c r="F52" i="4"/>
  <c r="G52" i="4"/>
  <c r="H52" i="4"/>
  <c r="I52" i="4"/>
  <c r="J52" i="4"/>
  <c r="K52" i="4"/>
  <c r="L52" i="4"/>
  <c r="O52" i="4"/>
  <c r="O51" i="4"/>
  <c r="N51" i="4"/>
  <c r="L47" i="4"/>
  <c r="L49" i="4"/>
  <c r="K47" i="4"/>
  <c r="K49" i="4"/>
  <c r="J47" i="4"/>
  <c r="J49" i="4"/>
  <c r="I47" i="4"/>
  <c r="I49" i="4"/>
  <c r="H47" i="4"/>
  <c r="H49" i="4"/>
  <c r="G47" i="4"/>
  <c r="G49" i="4"/>
  <c r="F47" i="4"/>
  <c r="F49" i="4"/>
  <c r="E47" i="4"/>
  <c r="E49" i="4"/>
  <c r="D47" i="4"/>
  <c r="D49" i="4"/>
  <c r="L46" i="4"/>
  <c r="L48" i="4"/>
  <c r="K46" i="4"/>
  <c r="K48" i="4"/>
  <c r="J46" i="4"/>
  <c r="J48" i="4"/>
  <c r="I46" i="4"/>
  <c r="I48" i="4"/>
  <c r="H46" i="4"/>
  <c r="H48" i="4"/>
  <c r="G46" i="4"/>
  <c r="G48" i="4"/>
  <c r="F46" i="4"/>
  <c r="F48" i="4"/>
  <c r="E46" i="4"/>
  <c r="E48" i="4"/>
  <c r="D46" i="4"/>
  <c r="D48" i="4"/>
  <c r="L44" i="4"/>
  <c r="K44" i="4"/>
  <c r="J44" i="4"/>
  <c r="I44" i="4"/>
  <c r="H44" i="4"/>
  <c r="G44" i="4"/>
  <c r="F44" i="4"/>
  <c r="E44" i="4"/>
  <c r="D44" i="4"/>
  <c r="A39" i="4"/>
  <c r="A37" i="4"/>
  <c r="D36" i="4"/>
  <c r="L35" i="4"/>
  <c r="K35" i="4"/>
  <c r="J35" i="4"/>
  <c r="I35" i="4"/>
  <c r="H35" i="4"/>
  <c r="G35" i="4"/>
  <c r="F35" i="4"/>
  <c r="E35" i="4"/>
  <c r="L34" i="4"/>
  <c r="K34" i="4"/>
  <c r="J34" i="4"/>
  <c r="I34" i="4"/>
  <c r="H34" i="4"/>
  <c r="G34" i="4"/>
  <c r="F34" i="4"/>
  <c r="E34" i="4"/>
  <c r="D34" i="4"/>
  <c r="L31" i="4"/>
  <c r="K31" i="4"/>
  <c r="J31" i="4"/>
  <c r="I31" i="4"/>
  <c r="H31" i="4"/>
  <c r="G31" i="4"/>
  <c r="F31" i="4"/>
  <c r="E31" i="4"/>
  <c r="D31" i="4"/>
  <c r="L23" i="4"/>
  <c r="K23" i="4"/>
  <c r="J23" i="4"/>
  <c r="I23" i="4"/>
  <c r="H23" i="4"/>
  <c r="G23" i="4"/>
  <c r="F23" i="4"/>
  <c r="E23" i="4"/>
  <c r="D23" i="4"/>
  <c r="N21" i="4"/>
  <c r="D21" i="4"/>
  <c r="E21" i="4"/>
  <c r="F21" i="4"/>
  <c r="G21" i="4"/>
  <c r="H21" i="4"/>
  <c r="I21" i="4"/>
  <c r="J21" i="4"/>
  <c r="K21" i="4"/>
  <c r="L21" i="4"/>
  <c r="M21" i="4"/>
  <c r="O17" i="4"/>
  <c r="N14" i="4"/>
  <c r="F12" i="4"/>
  <c r="E12" i="4"/>
  <c r="D12" i="4"/>
  <c r="C12" i="4"/>
  <c r="D1" i="3"/>
  <c r="E5" i="3"/>
  <c r="D3" i="3"/>
  <c r="E3" i="3"/>
  <c r="I10" i="1"/>
  <c r="C5" i="1"/>
  <c r="D5" i="1"/>
  <c r="M3" i="1"/>
  <c r="M4" i="1"/>
  <c r="D4" i="1"/>
  <c r="K13" i="5"/>
  <c r="D15" i="5"/>
  <c r="E15" i="5"/>
  <c r="F15" i="5"/>
  <c r="G15" i="5"/>
  <c r="H15" i="5"/>
  <c r="I15" i="5"/>
  <c r="J15" i="5"/>
  <c r="N25" i="5"/>
  <c r="O24" i="5"/>
  <c r="P67" i="5"/>
  <c r="N75" i="5"/>
  <c r="D91" i="5"/>
  <c r="F91" i="5"/>
  <c r="G91" i="5"/>
  <c r="I91" i="5"/>
  <c r="J91" i="5"/>
  <c r="E92" i="5"/>
  <c r="F92" i="5"/>
  <c r="G92" i="5"/>
  <c r="H92" i="5"/>
  <c r="I92" i="5"/>
  <c r="J92" i="5"/>
  <c r="H91" i="5"/>
  <c r="J122" i="5"/>
  <c r="T74" i="16"/>
  <c r="I74" i="16"/>
  <c r="I122" i="5"/>
  <c r="S74" i="16"/>
  <c r="H74" i="16"/>
  <c r="H122" i="5"/>
  <c r="R74" i="16"/>
  <c r="G74" i="16"/>
  <c r="G122" i="5"/>
  <c r="Q74" i="16"/>
  <c r="F74" i="16"/>
  <c r="F122" i="5"/>
  <c r="P74" i="16"/>
  <c r="E74" i="16"/>
  <c r="O74" i="16"/>
  <c r="D74" i="16"/>
  <c r="J120" i="5"/>
  <c r="T72" i="16"/>
  <c r="I72" i="16"/>
  <c r="I120" i="5"/>
  <c r="S72" i="16"/>
  <c r="H72" i="16"/>
  <c r="H120" i="5"/>
  <c r="R72" i="16"/>
  <c r="G72" i="16"/>
  <c r="G120" i="5"/>
  <c r="Q72" i="16"/>
  <c r="F72" i="16"/>
  <c r="F120" i="5"/>
  <c r="P72" i="16"/>
  <c r="E72" i="16"/>
  <c r="E120" i="5"/>
  <c r="O72" i="16"/>
  <c r="D72" i="16"/>
  <c r="U68" i="16"/>
  <c r="J68" i="16"/>
  <c r="U67" i="16"/>
  <c r="J67" i="16"/>
  <c r="U66" i="16"/>
  <c r="J66" i="16"/>
  <c r="T62" i="16"/>
  <c r="I62" i="16"/>
  <c r="S62" i="16"/>
  <c r="H62" i="16"/>
  <c r="R62" i="16"/>
  <c r="G62" i="16"/>
  <c r="Q62" i="16"/>
  <c r="F62" i="16"/>
  <c r="P62" i="16"/>
  <c r="E62" i="16"/>
  <c r="O62" i="16"/>
  <c r="D62" i="16"/>
  <c r="J104" i="5"/>
  <c r="J105" i="5"/>
  <c r="J106" i="5"/>
  <c r="J107" i="5"/>
  <c r="J108" i="5"/>
  <c r="I104" i="5"/>
  <c r="I105" i="5"/>
  <c r="I106" i="5"/>
  <c r="I107" i="5"/>
  <c r="I108" i="5"/>
  <c r="H104" i="5"/>
  <c r="R56" i="16" s="1"/>
  <c r="H105" i="5"/>
  <c r="H106" i="5"/>
  <c r="R58" i="16" s="1"/>
  <c r="H107" i="5"/>
  <c r="R59" i="16" s="1"/>
  <c r="H108" i="5"/>
  <c r="R60" i="16" s="1"/>
  <c r="G104" i="5"/>
  <c r="Q56" i="16" s="1"/>
  <c r="G105" i="5"/>
  <c r="G106" i="5"/>
  <c r="Q58" i="16" s="1"/>
  <c r="G107" i="5"/>
  <c r="Q59" i="16" s="1"/>
  <c r="G108" i="5"/>
  <c r="F104" i="5"/>
  <c r="F105" i="5"/>
  <c r="F106" i="5"/>
  <c r="F107" i="5"/>
  <c r="P59" i="16" s="1"/>
  <c r="F108" i="5"/>
  <c r="T58" i="16"/>
  <c r="I58" i="16"/>
  <c r="S58" i="16"/>
  <c r="H58" i="16"/>
  <c r="T57" i="16"/>
  <c r="I57" i="16"/>
  <c r="S57" i="16"/>
  <c r="H57" i="16"/>
  <c r="R57" i="16"/>
  <c r="G57" i="16" s="1"/>
  <c r="Q57" i="16"/>
  <c r="F57" i="16" s="1"/>
  <c r="T56" i="16"/>
  <c r="I56" i="16"/>
  <c r="S56" i="16"/>
  <c r="H56" i="16"/>
  <c r="E102" i="5"/>
  <c r="O54" i="16"/>
  <c r="D54" i="16"/>
  <c r="F102" i="5"/>
  <c r="P54" i="16"/>
  <c r="E54" i="16"/>
  <c r="G102" i="5"/>
  <c r="Q54" i="16"/>
  <c r="F54" i="16"/>
  <c r="H102" i="5"/>
  <c r="R54" i="16"/>
  <c r="G54" i="16"/>
  <c r="I102" i="5"/>
  <c r="S54" i="16"/>
  <c r="H54" i="16"/>
  <c r="J102" i="5"/>
  <c r="T54" i="16"/>
  <c r="I54" i="16"/>
  <c r="E91" i="5"/>
  <c r="O60" i="16"/>
  <c r="O59" i="16"/>
  <c r="T60" i="16"/>
  <c r="S60" i="16"/>
  <c r="Q60" i="16"/>
  <c r="T59" i="16"/>
  <c r="S59" i="16"/>
  <c r="L61" i="6"/>
  <c r="L98" i="6"/>
  <c r="V35" i="16"/>
  <c r="K35" i="16"/>
  <c r="F58" i="6"/>
  <c r="F95" i="6"/>
  <c r="P32" i="16"/>
  <c r="E32" i="16"/>
  <c r="G58" i="6"/>
  <c r="G95" i="6"/>
  <c r="Q32" i="16"/>
  <c r="F32" i="16"/>
  <c r="H58" i="6"/>
  <c r="H95" i="6"/>
  <c r="R32" i="16"/>
  <c r="G32" i="16"/>
  <c r="I58" i="6"/>
  <c r="I95" i="6"/>
  <c r="S32" i="16"/>
  <c r="H32" i="16"/>
  <c r="J58" i="6"/>
  <c r="J95" i="6"/>
  <c r="T32" i="16"/>
  <c r="I32" i="16"/>
  <c r="K58" i="6"/>
  <c r="K95" i="6"/>
  <c r="U32" i="16"/>
  <c r="J32" i="16"/>
  <c r="L58" i="6"/>
  <c r="L95" i="6"/>
  <c r="V32" i="16"/>
  <c r="K32" i="16"/>
  <c r="F59" i="6"/>
  <c r="F96" i="6"/>
  <c r="P33" i="16"/>
  <c r="E33" i="16"/>
  <c r="G59" i="6"/>
  <c r="Q33" i="16"/>
  <c r="F33" i="16"/>
  <c r="H59" i="6"/>
  <c r="H96" i="6"/>
  <c r="R33" i="16"/>
  <c r="G33" i="16"/>
  <c r="I59" i="6"/>
  <c r="I96" i="6"/>
  <c r="S33" i="16"/>
  <c r="H33" i="16"/>
  <c r="J59" i="6"/>
  <c r="J96" i="6"/>
  <c r="T33" i="16"/>
  <c r="I33" i="16"/>
  <c r="K59" i="6"/>
  <c r="K96" i="6"/>
  <c r="U33" i="16"/>
  <c r="J33" i="16"/>
  <c r="L59" i="6"/>
  <c r="L96" i="6"/>
  <c r="V33" i="16"/>
  <c r="K33" i="16"/>
  <c r="F60" i="6"/>
  <c r="F97" i="6"/>
  <c r="P34" i="16"/>
  <c r="E34" i="16"/>
  <c r="G60" i="6"/>
  <c r="G97" i="6"/>
  <c r="Q34" i="16"/>
  <c r="F34" i="16"/>
  <c r="H60" i="6"/>
  <c r="H97" i="6"/>
  <c r="R34" i="16"/>
  <c r="G34" i="16"/>
  <c r="I60" i="6"/>
  <c r="I97" i="6"/>
  <c r="S34" i="16"/>
  <c r="H34" i="16"/>
  <c r="J60" i="6"/>
  <c r="J97" i="6"/>
  <c r="T34" i="16"/>
  <c r="I34" i="16"/>
  <c r="K60" i="6"/>
  <c r="K97" i="6"/>
  <c r="U34" i="16"/>
  <c r="J34" i="16"/>
  <c r="L60" i="6"/>
  <c r="L97" i="6"/>
  <c r="V34" i="16"/>
  <c r="K34" i="16"/>
  <c r="F61" i="6"/>
  <c r="F98" i="6"/>
  <c r="P35" i="16"/>
  <c r="E35" i="16"/>
  <c r="G61" i="6"/>
  <c r="G98" i="6"/>
  <c r="Q35" i="16"/>
  <c r="F35" i="16"/>
  <c r="H61" i="6"/>
  <c r="H98" i="6"/>
  <c r="R35" i="16"/>
  <c r="G35" i="16"/>
  <c r="I61" i="6"/>
  <c r="I98" i="6"/>
  <c r="S35" i="16"/>
  <c r="H35" i="16"/>
  <c r="J61" i="6"/>
  <c r="J98" i="6"/>
  <c r="T35" i="16"/>
  <c r="I35" i="16"/>
  <c r="K61" i="6"/>
  <c r="K98" i="6"/>
  <c r="U35" i="16"/>
  <c r="J35" i="16"/>
  <c r="F62" i="6"/>
  <c r="F99" i="6"/>
  <c r="P36" i="16"/>
  <c r="E36" i="16"/>
  <c r="G62" i="6"/>
  <c r="G99" i="6"/>
  <c r="Q36" i="16"/>
  <c r="F36" i="16"/>
  <c r="H62" i="6"/>
  <c r="H99" i="6"/>
  <c r="R36" i="16"/>
  <c r="G36" i="16"/>
  <c r="I62" i="6"/>
  <c r="I99" i="6"/>
  <c r="S36" i="16"/>
  <c r="H36" i="16"/>
  <c r="J62" i="6"/>
  <c r="J99" i="6"/>
  <c r="T36" i="16"/>
  <c r="I36" i="16"/>
  <c r="K62" i="6"/>
  <c r="K99" i="6"/>
  <c r="U36" i="16"/>
  <c r="J36" i="16"/>
  <c r="L62" i="6"/>
  <c r="L99" i="6"/>
  <c r="V36" i="16"/>
  <c r="K36" i="16"/>
  <c r="F101" i="6"/>
  <c r="G101" i="6"/>
  <c r="G40" i="6"/>
  <c r="H101" i="6"/>
  <c r="H102" i="6"/>
  <c r="I101" i="6"/>
  <c r="I40" i="6"/>
  <c r="J101" i="6"/>
  <c r="K101" i="6"/>
  <c r="L101" i="6"/>
  <c r="O33" i="16"/>
  <c r="D33" i="16"/>
  <c r="O34" i="16"/>
  <c r="D34" i="16"/>
  <c r="O35" i="16"/>
  <c r="D35" i="16"/>
  <c r="O36" i="16"/>
  <c r="D36" i="16"/>
  <c r="D61" i="6"/>
  <c r="D60" i="6"/>
  <c r="D40" i="6"/>
  <c r="O32" i="16"/>
  <c r="D32" i="16"/>
  <c r="O38" i="16"/>
  <c r="D38" i="16"/>
  <c r="P38" i="16"/>
  <c r="E38" i="16"/>
  <c r="Q38" i="16"/>
  <c r="F38" i="16"/>
  <c r="R38" i="16"/>
  <c r="G38" i="16"/>
  <c r="S38" i="16"/>
  <c r="H38" i="16"/>
  <c r="T38" i="16"/>
  <c r="I38" i="16"/>
  <c r="U38" i="16"/>
  <c r="J38" i="16"/>
  <c r="V38" i="16"/>
  <c r="K38" i="16"/>
  <c r="E66" i="6"/>
  <c r="E104" i="6"/>
  <c r="O41" i="16" s="1"/>
  <c r="E67" i="6"/>
  <c r="E105" i="6" s="1"/>
  <c r="E107" i="6"/>
  <c r="O44" i="16" s="1"/>
  <c r="F66" i="6"/>
  <c r="F104" i="6"/>
  <c r="F67" i="6"/>
  <c r="F105" i="6" s="1"/>
  <c r="P42" i="16" s="1"/>
  <c r="F107" i="6"/>
  <c r="G66" i="6"/>
  <c r="G104" i="6" s="1"/>
  <c r="G67" i="6"/>
  <c r="G105" i="6"/>
  <c r="Q42" i="16" s="1"/>
  <c r="G106" i="6"/>
  <c r="Q43" i="16" s="1"/>
  <c r="H66" i="6"/>
  <c r="H104" i="6"/>
  <c r="H67" i="6"/>
  <c r="H105" i="6"/>
  <c r="H103" i="6" s="1"/>
  <c r="R40" i="16" s="1"/>
  <c r="H106" i="6"/>
  <c r="I66" i="6"/>
  <c r="I104" i="6"/>
  <c r="S41" i="16" s="1"/>
  <c r="I67" i="6"/>
  <c r="I105" i="6" s="1"/>
  <c r="I106" i="6"/>
  <c r="I107" i="6"/>
  <c r="S44" i="16" s="1"/>
  <c r="J66" i="6"/>
  <c r="J104" i="6"/>
  <c r="J103" i="6" s="1"/>
  <c r="T40" i="16" s="1"/>
  <c r="J67" i="6"/>
  <c r="J105" i="6"/>
  <c r="J106" i="6"/>
  <c r="J107" i="6"/>
  <c r="K66" i="6"/>
  <c r="K104" i="6" s="1"/>
  <c r="K67" i="6"/>
  <c r="K105" i="6"/>
  <c r="U42" i="16" s="1"/>
  <c r="K106" i="6"/>
  <c r="L66" i="6"/>
  <c r="L104" i="6"/>
  <c r="L67" i="6"/>
  <c r="L105" i="6"/>
  <c r="L103" i="6" s="1"/>
  <c r="V40" i="16" s="1"/>
  <c r="L106" i="6"/>
  <c r="P41" i="16"/>
  <c r="E41" i="16" s="1"/>
  <c r="R41" i="16"/>
  <c r="T41" i="16"/>
  <c r="I41" i="16" s="1"/>
  <c r="V41" i="16"/>
  <c r="R42" i="16"/>
  <c r="T42" i="16"/>
  <c r="V42" i="16"/>
  <c r="R43" i="16"/>
  <c r="S43" i="16"/>
  <c r="H43" i="16"/>
  <c r="T43" i="16"/>
  <c r="I43" i="16"/>
  <c r="U43" i="16"/>
  <c r="J43" i="16"/>
  <c r="V43" i="16"/>
  <c r="K43" i="16"/>
  <c r="P44" i="16"/>
  <c r="R44" i="16"/>
  <c r="T44" i="16"/>
  <c r="F108" i="6"/>
  <c r="E79" i="6"/>
  <c r="E76" i="6"/>
  <c r="E77" i="6"/>
  <c r="E111" i="6"/>
  <c r="O48" i="16"/>
  <c r="D48" i="16"/>
  <c r="F79" i="6"/>
  <c r="F76" i="6"/>
  <c r="F77" i="6"/>
  <c r="F111" i="6"/>
  <c r="P48" i="16"/>
  <c r="E48" i="16"/>
  <c r="G79" i="6"/>
  <c r="G76" i="6"/>
  <c r="G77" i="6"/>
  <c r="G111" i="6"/>
  <c r="Q48" i="16"/>
  <c r="F48" i="16"/>
  <c r="H79" i="6"/>
  <c r="H76" i="6"/>
  <c r="H77" i="6"/>
  <c r="H111" i="6"/>
  <c r="R48" i="16"/>
  <c r="G48" i="16"/>
  <c r="I79" i="6"/>
  <c r="I76" i="6"/>
  <c r="I77" i="6"/>
  <c r="I111" i="6"/>
  <c r="S48" i="16"/>
  <c r="H48" i="16"/>
  <c r="J79" i="6"/>
  <c r="J76" i="6"/>
  <c r="J77" i="6"/>
  <c r="J111" i="6"/>
  <c r="T48" i="16"/>
  <c r="I48" i="16"/>
  <c r="K79" i="6"/>
  <c r="K76" i="6"/>
  <c r="K77" i="6"/>
  <c r="K111" i="6"/>
  <c r="U48" i="16"/>
  <c r="J48" i="16"/>
  <c r="L79" i="6"/>
  <c r="L76" i="6"/>
  <c r="L77" i="6"/>
  <c r="L111" i="6"/>
  <c r="V48" i="16"/>
  <c r="K48" i="16"/>
  <c r="E89" i="6"/>
  <c r="E113" i="6"/>
  <c r="O50" i="16"/>
  <c r="D50" i="16"/>
  <c r="F89" i="6"/>
  <c r="F113" i="6"/>
  <c r="P50" i="16"/>
  <c r="E50" i="16"/>
  <c r="G89" i="6"/>
  <c r="G113" i="6"/>
  <c r="Q50" i="16"/>
  <c r="F50" i="16"/>
  <c r="H89" i="6"/>
  <c r="H113" i="6"/>
  <c r="R50" i="16"/>
  <c r="G50" i="16"/>
  <c r="I89" i="6"/>
  <c r="I113" i="6"/>
  <c r="S50" i="16"/>
  <c r="H50" i="16"/>
  <c r="J89" i="6"/>
  <c r="J113" i="6"/>
  <c r="T50" i="16"/>
  <c r="I50" i="16"/>
  <c r="K89" i="6"/>
  <c r="K113" i="6"/>
  <c r="U50" i="16"/>
  <c r="J50" i="16"/>
  <c r="L89" i="6"/>
  <c r="L113" i="6"/>
  <c r="V50" i="16"/>
  <c r="K50" i="16"/>
  <c r="F54" i="6"/>
  <c r="F93" i="6"/>
  <c r="P30" i="16"/>
  <c r="E30" i="16"/>
  <c r="G54" i="6"/>
  <c r="G93" i="6"/>
  <c r="Q30" i="16"/>
  <c r="F30" i="16"/>
  <c r="H54" i="6"/>
  <c r="H93" i="6"/>
  <c r="R30" i="16"/>
  <c r="G30" i="16"/>
  <c r="I54" i="6"/>
  <c r="I93" i="6"/>
  <c r="S30" i="16"/>
  <c r="H30" i="16"/>
  <c r="J54" i="6"/>
  <c r="J93" i="6"/>
  <c r="T30" i="16"/>
  <c r="I30" i="16"/>
  <c r="K54" i="6"/>
  <c r="K93" i="6"/>
  <c r="U30" i="16"/>
  <c r="J30" i="16"/>
  <c r="L54" i="6"/>
  <c r="L93" i="6"/>
  <c r="V30" i="16"/>
  <c r="K30" i="16"/>
  <c r="E54" i="6"/>
  <c r="E93" i="6"/>
  <c r="O30" i="16"/>
  <c r="D30" i="16"/>
  <c r="E90" i="6"/>
  <c r="D89" i="6"/>
  <c r="L85" i="6"/>
  <c r="K85" i="6"/>
  <c r="J85" i="6"/>
  <c r="I85" i="6"/>
  <c r="H85" i="6"/>
  <c r="G85" i="6"/>
  <c r="F85" i="6"/>
  <c r="E85" i="6"/>
  <c r="L84" i="6"/>
  <c r="K84" i="6"/>
  <c r="J84" i="6"/>
  <c r="I84" i="6"/>
  <c r="H84" i="6"/>
  <c r="G84" i="6"/>
  <c r="F84" i="6"/>
  <c r="E84" i="6"/>
  <c r="D84" i="6"/>
  <c r="L80" i="6"/>
  <c r="K80" i="6"/>
  <c r="J80" i="6"/>
  <c r="I80" i="6"/>
  <c r="H80" i="6"/>
  <c r="G80" i="6"/>
  <c r="F80" i="6"/>
  <c r="E80" i="6"/>
  <c r="D80" i="6"/>
  <c r="D79" i="6"/>
  <c r="L78" i="6"/>
  <c r="K78" i="6"/>
  <c r="J78" i="6"/>
  <c r="I78" i="6"/>
  <c r="H78" i="6"/>
  <c r="G78" i="6"/>
  <c r="F78" i="6"/>
  <c r="E78" i="6"/>
  <c r="D78" i="6"/>
  <c r="D76" i="6"/>
  <c r="D77" i="6"/>
  <c r="O67" i="6"/>
  <c r="E64" i="6"/>
  <c r="F64" i="6"/>
  <c r="G64" i="6"/>
  <c r="H64" i="6"/>
  <c r="I64" i="6"/>
  <c r="J64" i="6"/>
  <c r="K64" i="6"/>
  <c r="L64" i="6"/>
  <c r="D64" i="6"/>
  <c r="D62" i="6"/>
  <c r="Q62" i="6"/>
  <c r="D59" i="6"/>
  <c r="L57" i="6"/>
  <c r="K57" i="6"/>
  <c r="J57" i="6"/>
  <c r="I57" i="6"/>
  <c r="H57" i="6"/>
  <c r="G57" i="6"/>
  <c r="F57" i="6"/>
  <c r="E57" i="6"/>
  <c r="D58" i="6"/>
  <c r="D57" i="6"/>
  <c r="L42" i="6"/>
  <c r="K42" i="6"/>
  <c r="J42" i="6"/>
  <c r="I42" i="6"/>
  <c r="H42" i="6"/>
  <c r="G42" i="6"/>
  <c r="F42" i="6"/>
  <c r="D42" i="6"/>
  <c r="D54" i="6"/>
  <c r="L53" i="6"/>
  <c r="K53" i="6"/>
  <c r="J53" i="6"/>
  <c r="I53" i="6"/>
  <c r="H53" i="6"/>
  <c r="G53" i="6"/>
  <c r="F53" i="6"/>
  <c r="E53" i="6"/>
  <c r="D53" i="6"/>
  <c r="L48" i="6"/>
  <c r="K48" i="6"/>
  <c r="J48" i="6"/>
  <c r="I48" i="6"/>
  <c r="H48" i="6"/>
  <c r="G48" i="6"/>
  <c r="F48" i="6"/>
  <c r="E48" i="6"/>
  <c r="D48" i="6"/>
  <c r="D50" i="6"/>
  <c r="D49" i="6"/>
  <c r="L26" i="6"/>
  <c r="K26" i="6"/>
  <c r="J26" i="6"/>
  <c r="I26" i="6"/>
  <c r="H26" i="6"/>
  <c r="G26" i="6"/>
  <c r="F26" i="6"/>
  <c r="E26" i="6"/>
  <c r="L25" i="6"/>
  <c r="K25" i="6"/>
  <c r="J25" i="6"/>
  <c r="I25" i="6"/>
  <c r="H25" i="6"/>
  <c r="G25" i="6"/>
  <c r="F25" i="6"/>
  <c r="E25" i="6"/>
  <c r="D25" i="6"/>
  <c r="O24" i="6"/>
  <c r="P23" i="6"/>
  <c r="L14" i="6"/>
  <c r="K14" i="6"/>
  <c r="J14" i="6"/>
  <c r="I14" i="6"/>
  <c r="H14" i="6"/>
  <c r="G14" i="6"/>
  <c r="F14" i="6"/>
  <c r="E14" i="6"/>
  <c r="D14" i="6"/>
  <c r="F12" i="6"/>
  <c r="G12" i="6"/>
  <c r="H12" i="6"/>
  <c r="I12" i="6"/>
  <c r="J12" i="6"/>
  <c r="K12" i="6"/>
  <c r="L12" i="6"/>
  <c r="E12" i="6"/>
  <c r="D53" i="5"/>
  <c r="E52" i="5"/>
  <c r="F52" i="5"/>
  <c r="G52" i="5"/>
  <c r="H52" i="5"/>
  <c r="I52" i="5"/>
  <c r="J52" i="5"/>
  <c r="K52" i="5"/>
  <c r="L52" i="5"/>
  <c r="O63" i="16" l="1"/>
  <c r="D63" i="16" s="1"/>
  <c r="N45" i="5"/>
  <c r="N32" i="5"/>
  <c r="N33" i="5" s="1"/>
  <c r="H50" i="6"/>
  <c r="Q64" i="6"/>
  <c r="I50" i="6"/>
  <c r="E36" i="5"/>
  <c r="E38" i="5" s="1"/>
  <c r="E40" i="5" s="1"/>
  <c r="K10" i="20"/>
  <c r="L10" i="20" s="1"/>
  <c r="M10" i="20" s="1"/>
  <c r="N10" i="20" s="1"/>
  <c r="J10" i="20"/>
  <c r="G10" i="20"/>
  <c r="I10" i="20"/>
  <c r="H10" i="20"/>
  <c r="H30" i="9"/>
  <c r="E30" i="9"/>
  <c r="E54" i="9" s="1"/>
  <c r="D29" i="9"/>
  <c r="G30" i="9"/>
  <c r="I30" i="9"/>
  <c r="F30" i="9"/>
  <c r="D54" i="9"/>
  <c r="A29" i="10"/>
  <c r="D29" i="10" s="1"/>
  <c r="N28" i="10"/>
  <c r="N38" i="10" s="1"/>
  <c r="G60" i="18"/>
  <c r="D28" i="9"/>
  <c r="F30" i="6"/>
  <c r="E63" i="6"/>
  <c r="E34" i="6"/>
  <c r="E35" i="6" s="1"/>
  <c r="F36" i="5"/>
  <c r="F38" i="5" s="1"/>
  <c r="F40" i="5" s="1"/>
  <c r="D63" i="6"/>
  <c r="D35" i="6"/>
  <c r="E68" i="5"/>
  <c r="E41" i="5"/>
  <c r="E42" i="5" s="1"/>
  <c r="E43" i="5"/>
  <c r="E117" i="5" s="1"/>
  <c r="O69" i="16" s="1"/>
  <c r="D69" i="16" s="1"/>
  <c r="D42" i="5"/>
  <c r="E37" i="5"/>
  <c r="D37" i="5"/>
  <c r="D39" i="5" s="1"/>
  <c r="D47" i="5" s="1"/>
  <c r="D43" i="5"/>
  <c r="D48" i="5" s="1"/>
  <c r="E43" i="16"/>
  <c r="K44" i="16"/>
  <c r="G43" i="16"/>
  <c r="F103" i="6"/>
  <c r="P40" i="16" s="1"/>
  <c r="J44" i="16"/>
  <c r="F44" i="16"/>
  <c r="G44" i="16"/>
  <c r="K42" i="16"/>
  <c r="K40" i="16"/>
  <c r="I40" i="16"/>
  <c r="I103" i="6"/>
  <c r="S40" i="16" s="1"/>
  <c r="S42" i="16"/>
  <c r="G40" i="16"/>
  <c r="F43" i="16"/>
  <c r="D44" i="16"/>
  <c r="E44" i="16"/>
  <c r="I42" i="16"/>
  <c r="J42" i="16"/>
  <c r="H41" i="16"/>
  <c r="F42" i="16"/>
  <c r="E42" i="16"/>
  <c r="E103" i="6"/>
  <c r="O40" i="16" s="1"/>
  <c r="O42" i="16"/>
  <c r="O12" i="6"/>
  <c r="H44" i="16"/>
  <c r="D41" i="16"/>
  <c r="I44" i="16"/>
  <c r="K103" i="6"/>
  <c r="U40" i="16" s="1"/>
  <c r="U41" i="16"/>
  <c r="G103" i="6"/>
  <c r="Q40" i="16" s="1"/>
  <c r="Q41" i="16"/>
  <c r="A71" i="6"/>
  <c r="E106" i="6"/>
  <c r="O43" i="16" s="1"/>
  <c r="O69" i="6"/>
  <c r="O70" i="6" s="1"/>
  <c r="M68" i="6"/>
  <c r="M71" i="6"/>
  <c r="G42" i="16"/>
  <c r="K41" i="16"/>
  <c r="G41" i="16"/>
  <c r="M70" i="6"/>
  <c r="M72" i="6" s="1"/>
  <c r="K66" i="16"/>
  <c r="L112" i="5"/>
  <c r="V64" i="16" s="1"/>
  <c r="V65" i="16"/>
  <c r="U65" i="16"/>
  <c r="K112" i="5"/>
  <c r="U64" i="16" s="1"/>
  <c r="I64" i="16"/>
  <c r="I66" i="16"/>
  <c r="S66" i="16"/>
  <c r="I112" i="5"/>
  <c r="S64" i="16" s="1"/>
  <c r="N13" i="5"/>
  <c r="H112" i="5"/>
  <c r="R64" i="16" s="1"/>
  <c r="D66" i="16"/>
  <c r="A79" i="5"/>
  <c r="B79" i="5" s="1"/>
  <c r="E112" i="5"/>
  <c r="O64" i="16" s="1"/>
  <c r="R65" i="16"/>
  <c r="F77" i="5"/>
  <c r="F78" i="5" s="1"/>
  <c r="D64" i="16"/>
  <c r="E68" i="16"/>
  <c r="G64" i="16"/>
  <c r="F68" i="16"/>
  <c r="D68" i="16"/>
  <c r="G67" i="16"/>
  <c r="E67" i="16"/>
  <c r="O65" i="16"/>
  <c r="G77" i="5"/>
  <c r="G78" i="5" s="1"/>
  <c r="A78" i="5" s="1"/>
  <c r="G68" i="16"/>
  <c r="G66" i="16"/>
  <c r="D69" i="5"/>
  <c r="P69" i="5" s="1"/>
  <c r="F58" i="16"/>
  <c r="D56" i="16"/>
  <c r="G56" i="16"/>
  <c r="G58" i="16"/>
  <c r="F56" i="16"/>
  <c r="D58" i="16"/>
  <c r="F112" i="5"/>
  <c r="P73" i="5"/>
  <c r="P75" i="5" s="1"/>
  <c r="F66" i="16"/>
  <c r="G112" i="5"/>
  <c r="Q64" i="16" s="1"/>
  <c r="E66" i="16"/>
  <c r="M112" i="5"/>
  <c r="P64" i="16"/>
  <c r="N72" i="5"/>
  <c r="N71" i="5"/>
  <c r="E65" i="16"/>
  <c r="J45" i="6"/>
  <c r="J102" i="6" s="1"/>
  <c r="J38" i="6"/>
  <c r="J40" i="6" s="1"/>
  <c r="H46" i="6"/>
  <c r="H55" i="6" s="1"/>
  <c r="D45" i="16"/>
  <c r="G49" i="6"/>
  <c r="G109" i="6"/>
  <c r="Q46" i="16" s="1"/>
  <c r="F46" i="16" s="1"/>
  <c r="F109" i="6"/>
  <c r="P46" i="16" s="1"/>
  <c r="G50" i="6"/>
  <c r="H109" i="6"/>
  <c r="R46" i="16" s="1"/>
  <c r="G46" i="16" s="1"/>
  <c r="E39" i="6"/>
  <c r="E46" i="6" s="1"/>
  <c r="E55" i="6" s="1"/>
  <c r="L38" i="6"/>
  <c r="D39" i="16"/>
  <c r="K45" i="6"/>
  <c r="K102" i="6" s="1"/>
  <c r="I109" i="6"/>
  <c r="I46" i="6"/>
  <c r="I55" i="6" s="1"/>
  <c r="G46" i="6"/>
  <c r="G55" i="6" s="1"/>
  <c r="H49" i="6"/>
  <c r="F50" i="6"/>
  <c r="F46" i="6"/>
  <c r="F55" i="6" s="1"/>
  <c r="D54" i="5"/>
  <c r="D55" i="5"/>
  <c r="N37" i="5"/>
  <c r="E39" i="5" l="1"/>
  <c r="A38" i="5" s="1"/>
  <c r="E109" i="5"/>
  <c r="E55" i="5"/>
  <c r="J39" i="6"/>
  <c r="J109" i="6" s="1"/>
  <c r="F39" i="9"/>
  <c r="F86" i="9" s="1"/>
  <c r="F40" i="9"/>
  <c r="F54" i="9"/>
  <c r="G54" i="9"/>
  <c r="G39" i="9"/>
  <c r="G86" i="9" s="1"/>
  <c r="G40" i="9"/>
  <c r="H39" i="9"/>
  <c r="H86" i="9" s="1"/>
  <c r="H40" i="9"/>
  <c r="H54" i="9"/>
  <c r="E29" i="10"/>
  <c r="E53" i="10" s="1"/>
  <c r="I29" i="10"/>
  <c r="D53" i="10"/>
  <c r="F29" i="10"/>
  <c r="G29" i="10"/>
  <c r="H29" i="10"/>
  <c r="D28" i="10"/>
  <c r="I39" i="9"/>
  <c r="I86" i="9" s="1"/>
  <c r="I54" i="9"/>
  <c r="J30" i="9"/>
  <c r="I40" i="9"/>
  <c r="G36" i="5"/>
  <c r="G38" i="5" s="1"/>
  <c r="G40" i="5" s="1"/>
  <c r="F34" i="6"/>
  <c r="F35" i="6" s="1"/>
  <c r="G30" i="6"/>
  <c r="F63" i="6"/>
  <c r="E54" i="5"/>
  <c r="E47" i="5"/>
  <c r="E118" i="5"/>
  <c r="O70" i="16" s="1"/>
  <c r="F43" i="5"/>
  <c r="F117" i="5" s="1"/>
  <c r="F68" i="5"/>
  <c r="F41" i="5"/>
  <c r="F37" i="5"/>
  <c r="F39" i="5" s="1"/>
  <c r="D40" i="16"/>
  <c r="D43" i="16"/>
  <c r="J41" i="16"/>
  <c r="E40" i="16"/>
  <c r="F41" i="16"/>
  <c r="H40" i="16"/>
  <c r="F40" i="16"/>
  <c r="J40" i="16"/>
  <c r="D42" i="16"/>
  <c r="H42" i="16"/>
  <c r="K64" i="16"/>
  <c r="K65" i="16"/>
  <c r="J64" i="16"/>
  <c r="J65" i="16"/>
  <c r="H66" i="16"/>
  <c r="H64" i="16"/>
  <c r="G65" i="16"/>
  <c r="N77" i="5"/>
  <c r="D65" i="16"/>
  <c r="F64" i="16"/>
  <c r="E64" i="16"/>
  <c r="G94" i="6"/>
  <c r="E46" i="16"/>
  <c r="E50" i="6"/>
  <c r="A39" i="6"/>
  <c r="E109" i="6"/>
  <c r="E49" i="6"/>
  <c r="S46" i="16"/>
  <c r="L45" i="6"/>
  <c r="L102" i="6" s="1"/>
  <c r="K39" i="6"/>
  <c r="K40" i="6"/>
  <c r="D50" i="5"/>
  <c r="D60" i="5"/>
  <c r="H41" i="9" l="1"/>
  <c r="H80" i="9" s="1"/>
  <c r="G41" i="9"/>
  <c r="G80" i="9" s="1"/>
  <c r="G78" i="9" s="1"/>
  <c r="G72" i="9" s="1"/>
  <c r="F41" i="9"/>
  <c r="F80" i="9" s="1"/>
  <c r="P63" i="16" s="1"/>
  <c r="E63" i="16" s="1"/>
  <c r="J49" i="6"/>
  <c r="E48" i="5"/>
  <c r="J46" i="6"/>
  <c r="J55" i="6" s="1"/>
  <c r="J50" i="6"/>
  <c r="E100" i="5"/>
  <c r="P69" i="16"/>
  <c r="E69" i="16" s="1"/>
  <c r="I41" i="9"/>
  <c r="I80" i="9" s="1"/>
  <c r="I78" i="9" s="1"/>
  <c r="I72" i="9" s="1"/>
  <c r="F53" i="10"/>
  <c r="F39" i="10"/>
  <c r="F38" i="10"/>
  <c r="F85" i="10" s="1"/>
  <c r="P45" i="16" s="1"/>
  <c r="E45" i="16" s="1"/>
  <c r="H39" i="10"/>
  <c r="H53" i="10"/>
  <c r="H38" i="10"/>
  <c r="H85" i="10" s="1"/>
  <c r="R45" i="16" s="1"/>
  <c r="G45" i="16" s="1"/>
  <c r="J29" i="10"/>
  <c r="I39" i="10"/>
  <c r="I38" i="10"/>
  <c r="I85" i="10" s="1"/>
  <c r="S45" i="16" s="1"/>
  <c r="H45" i="16" s="1"/>
  <c r="I53" i="10"/>
  <c r="H78" i="9"/>
  <c r="H72" i="9" s="1"/>
  <c r="R63" i="16"/>
  <c r="G63" i="16" s="1"/>
  <c r="G38" i="10"/>
  <c r="G85" i="10" s="1"/>
  <c r="Q45" i="16" s="1"/>
  <c r="F45" i="16" s="1"/>
  <c r="G39" i="10"/>
  <c r="G53" i="10"/>
  <c r="K30" i="9"/>
  <c r="J54" i="9"/>
  <c r="J40" i="9"/>
  <c r="J39" i="9"/>
  <c r="J86" i="9" s="1"/>
  <c r="H36" i="5"/>
  <c r="H38" i="5" s="1"/>
  <c r="H40" i="5" s="1"/>
  <c r="G34" i="6"/>
  <c r="G35" i="6" s="1"/>
  <c r="M36" i="6" s="1"/>
  <c r="H30" i="6"/>
  <c r="G63" i="6"/>
  <c r="G37" i="5"/>
  <c r="G39" i="5" s="1"/>
  <c r="A39" i="5" s="1"/>
  <c r="A40" i="5" s="1"/>
  <c r="G43" i="5"/>
  <c r="G68" i="5"/>
  <c r="G41" i="5"/>
  <c r="G42" i="5" s="1"/>
  <c r="E103" i="5"/>
  <c r="O55" i="16" s="1"/>
  <c r="F54" i="5"/>
  <c r="F47" i="5"/>
  <c r="F118" i="5"/>
  <c r="F48" i="5"/>
  <c r="F55" i="5"/>
  <c r="E50" i="5"/>
  <c r="E60" i="5"/>
  <c r="F42" i="5"/>
  <c r="O46" i="16"/>
  <c r="H94" i="6"/>
  <c r="F94" i="6"/>
  <c r="T46" i="16"/>
  <c r="K46" i="6"/>
  <c r="K55" i="6" s="1"/>
  <c r="K109" i="6"/>
  <c r="K50" i="6"/>
  <c r="K49" i="6"/>
  <c r="L40" i="6"/>
  <c r="L39" i="6"/>
  <c r="M39" i="6" s="1"/>
  <c r="I94" i="6"/>
  <c r="H46" i="16"/>
  <c r="D70" i="16"/>
  <c r="Q63" i="16" l="1"/>
  <c r="F63" i="16" s="1"/>
  <c r="O61" i="16"/>
  <c r="D61" i="16" s="1"/>
  <c r="I40" i="10"/>
  <c r="I67" i="10" s="1"/>
  <c r="S63" i="16"/>
  <c r="H63" i="16" s="1"/>
  <c r="F40" i="10"/>
  <c r="F79" i="10" s="1"/>
  <c r="J39" i="10"/>
  <c r="K29" i="10"/>
  <c r="J53" i="10"/>
  <c r="J38" i="10"/>
  <c r="J85" i="10" s="1"/>
  <c r="T45" i="16" s="1"/>
  <c r="I45" i="16" s="1"/>
  <c r="H40" i="10"/>
  <c r="J41" i="9"/>
  <c r="J80" i="9" s="1"/>
  <c r="K54" i="9"/>
  <c r="L30" i="9"/>
  <c r="K40" i="9"/>
  <c r="K39" i="9"/>
  <c r="K86" i="9" s="1"/>
  <c r="G40" i="10"/>
  <c r="I30" i="6"/>
  <c r="H63" i="6"/>
  <c r="H34" i="6"/>
  <c r="H35" i="6" s="1"/>
  <c r="H41" i="5"/>
  <c r="H37" i="5"/>
  <c r="H39" i="5" s="1"/>
  <c r="H68" i="5"/>
  <c r="H43" i="5"/>
  <c r="G117" i="5"/>
  <c r="Q69" i="16" s="1"/>
  <c r="F69" i="16" s="1"/>
  <c r="E123" i="5"/>
  <c r="P70" i="16"/>
  <c r="E70" i="16" s="1"/>
  <c r="F100" i="5"/>
  <c r="G48" i="5"/>
  <c r="G54" i="5"/>
  <c r="G55" i="5"/>
  <c r="G47" i="5"/>
  <c r="G60" i="5" s="1"/>
  <c r="G118" i="5"/>
  <c r="F60" i="5"/>
  <c r="F50" i="5"/>
  <c r="D46" i="16"/>
  <c r="E94" i="6"/>
  <c r="O31" i="16" s="1"/>
  <c r="O37" i="16"/>
  <c r="I46" i="16"/>
  <c r="L50" i="6"/>
  <c r="L49" i="6"/>
  <c r="L109" i="6"/>
  <c r="L46" i="6"/>
  <c r="L55" i="6" s="1"/>
  <c r="U46" i="16"/>
  <c r="J94" i="6"/>
  <c r="D55" i="16"/>
  <c r="F67" i="10" l="1"/>
  <c r="I79" i="10"/>
  <c r="J40" i="10"/>
  <c r="L54" i="9"/>
  <c r="L40" i="9"/>
  <c r="L39" i="9"/>
  <c r="L86" i="9" s="1"/>
  <c r="I77" i="10"/>
  <c r="S39" i="16"/>
  <c r="H39" i="16" s="1"/>
  <c r="J78" i="9"/>
  <c r="J72" i="9" s="1"/>
  <c r="T63" i="16"/>
  <c r="I63" i="16" s="1"/>
  <c r="G79" i="10"/>
  <c r="G67" i="10"/>
  <c r="H67" i="10"/>
  <c r="H79" i="10"/>
  <c r="J79" i="10"/>
  <c r="J67" i="10"/>
  <c r="F77" i="10"/>
  <c r="P39" i="16"/>
  <c r="E39" i="16" s="1"/>
  <c r="K41" i="9"/>
  <c r="K80" i="9" s="1"/>
  <c r="K39" i="10"/>
  <c r="K53" i="10"/>
  <c r="L29" i="10"/>
  <c r="K38" i="10"/>
  <c r="K85" i="10" s="1"/>
  <c r="U45" i="16" s="1"/>
  <c r="J45" i="16" s="1"/>
  <c r="J30" i="6"/>
  <c r="I63" i="6"/>
  <c r="I34" i="6"/>
  <c r="I35" i="6" s="1"/>
  <c r="G50" i="5"/>
  <c r="F103" i="5"/>
  <c r="H118" i="5"/>
  <c r="H55" i="5"/>
  <c r="H54" i="5"/>
  <c r="H48" i="5"/>
  <c r="H47" i="5"/>
  <c r="H60" i="5" s="1"/>
  <c r="H117" i="5"/>
  <c r="R69" i="16" s="1"/>
  <c r="G69" i="16" s="1"/>
  <c r="A41" i="5"/>
  <c r="G100" i="5"/>
  <c r="Q70" i="16"/>
  <c r="F70" i="16" s="1"/>
  <c r="I31" i="5"/>
  <c r="I37" i="5" s="1"/>
  <c r="I39" i="5" s="1"/>
  <c r="I41" i="5"/>
  <c r="I68" i="5"/>
  <c r="I43" i="5"/>
  <c r="D37" i="16"/>
  <c r="D31" i="16"/>
  <c r="K94" i="6"/>
  <c r="J46" i="16"/>
  <c r="V46" i="16"/>
  <c r="M109" i="6"/>
  <c r="G77" i="10" l="1"/>
  <c r="Q39" i="16"/>
  <c r="F39" i="16" s="1"/>
  <c r="J77" i="10"/>
  <c r="T39" i="16"/>
  <c r="I39" i="16" s="1"/>
  <c r="I71" i="10"/>
  <c r="S31" i="16" s="1"/>
  <c r="H31" i="16" s="1"/>
  <c r="S37" i="16"/>
  <c r="H37" i="16" s="1"/>
  <c r="L38" i="10"/>
  <c r="L85" i="10" s="1"/>
  <c r="V45" i="16" s="1"/>
  <c r="K45" i="16" s="1"/>
  <c r="L53" i="10"/>
  <c r="L39" i="10"/>
  <c r="L40" i="10" s="1"/>
  <c r="H77" i="10"/>
  <c r="R39" i="16"/>
  <c r="G39" i="16" s="1"/>
  <c r="K78" i="9"/>
  <c r="K72" i="9" s="1"/>
  <c r="U63" i="16"/>
  <c r="J63" i="16" s="1"/>
  <c r="F71" i="10"/>
  <c r="P31" i="16" s="1"/>
  <c r="E31" i="16" s="1"/>
  <c r="P37" i="16"/>
  <c r="E37" i="16" s="1"/>
  <c r="K40" i="10"/>
  <c r="L41" i="9"/>
  <c r="L80" i="9" s="1"/>
  <c r="J34" i="6"/>
  <c r="J35" i="6" s="1"/>
  <c r="K30" i="6"/>
  <c r="J63" i="6"/>
  <c r="H100" i="5"/>
  <c r="R70" i="16"/>
  <c r="G70" i="16" s="1"/>
  <c r="I117" i="5"/>
  <c r="S69" i="16" s="1"/>
  <c r="H69" i="16" s="1"/>
  <c r="H50" i="5"/>
  <c r="I118" i="5"/>
  <c r="I54" i="5"/>
  <c r="I48" i="5"/>
  <c r="I36" i="5"/>
  <c r="I38" i="5" s="1"/>
  <c r="I40" i="5" s="1"/>
  <c r="I55" i="5" s="1"/>
  <c r="I44" i="5"/>
  <c r="I47" i="5" s="1"/>
  <c r="I60" i="5" s="1"/>
  <c r="Q61" i="16"/>
  <c r="F61" i="16" s="1"/>
  <c r="G103" i="5"/>
  <c r="Q55" i="16" s="1"/>
  <c r="F55" i="16" s="1"/>
  <c r="J31" i="5"/>
  <c r="J41" i="5"/>
  <c r="J43" i="5"/>
  <c r="J68" i="5"/>
  <c r="L94" i="6"/>
  <c r="K46" i="16"/>
  <c r="G71" i="10" l="1"/>
  <c r="Q31" i="16" s="1"/>
  <c r="F31" i="16" s="1"/>
  <c r="Q37" i="16"/>
  <c r="F37" i="16" s="1"/>
  <c r="K67" i="10"/>
  <c r="K79" i="10"/>
  <c r="J71" i="10"/>
  <c r="T31" i="16" s="1"/>
  <c r="I31" i="16" s="1"/>
  <c r="T37" i="16"/>
  <c r="I37" i="16" s="1"/>
  <c r="L79" i="10"/>
  <c r="L67" i="10"/>
  <c r="V63" i="16"/>
  <c r="K63" i="16" s="1"/>
  <c r="L78" i="9"/>
  <c r="L72" i="9" s="1"/>
  <c r="H71" i="10"/>
  <c r="R31" i="16" s="1"/>
  <c r="G31" i="16" s="1"/>
  <c r="R37" i="16"/>
  <c r="G37" i="16" s="1"/>
  <c r="L30" i="6"/>
  <c r="K63" i="6"/>
  <c r="K34" i="6"/>
  <c r="K35" i="6" s="1"/>
  <c r="K31" i="5"/>
  <c r="K37" i="5" s="1"/>
  <c r="K39" i="5" s="1"/>
  <c r="K43" i="5"/>
  <c r="K68" i="5"/>
  <c r="K41" i="5"/>
  <c r="I50" i="5"/>
  <c r="J117" i="5"/>
  <c r="T69" i="16" s="1"/>
  <c r="I69" i="16" s="1"/>
  <c r="J44" i="5"/>
  <c r="J36" i="5"/>
  <c r="J38" i="5" s="1"/>
  <c r="J40" i="5" s="1"/>
  <c r="I100" i="5"/>
  <c r="S70" i="16"/>
  <c r="H70" i="16" s="1"/>
  <c r="J37" i="5"/>
  <c r="J39" i="5" s="1"/>
  <c r="R61" i="16"/>
  <c r="G61" i="16" s="1"/>
  <c r="H103" i="5"/>
  <c r="R55" i="16" s="1"/>
  <c r="G55" i="16" s="1"/>
  <c r="L77" i="10" l="1"/>
  <c r="V39" i="16"/>
  <c r="K39" i="16" s="1"/>
  <c r="K77" i="10"/>
  <c r="U39" i="16"/>
  <c r="J39" i="16" s="1"/>
  <c r="L63" i="6"/>
  <c r="Q63" i="6" s="1"/>
  <c r="L34" i="6"/>
  <c r="L35" i="6" s="1"/>
  <c r="M35" i="6" s="1"/>
  <c r="K117" i="5"/>
  <c r="U69" i="16" s="1"/>
  <c r="J69" i="16" s="1"/>
  <c r="J48" i="5"/>
  <c r="J55" i="5"/>
  <c r="J118" i="5"/>
  <c r="J54" i="5"/>
  <c r="L31" i="5"/>
  <c r="L37" i="5" s="1"/>
  <c r="L39" i="5" s="1"/>
  <c r="L43" i="5"/>
  <c r="L41" i="5"/>
  <c r="A42" i="5" s="1"/>
  <c r="L68" i="5"/>
  <c r="P68" i="5" s="1"/>
  <c r="I103" i="5"/>
  <c r="S55" i="16" s="1"/>
  <c r="H55" i="16" s="1"/>
  <c r="S61" i="16"/>
  <c r="H61" i="16" s="1"/>
  <c r="J47" i="5"/>
  <c r="K54" i="5"/>
  <c r="K48" i="5"/>
  <c r="K118" i="5"/>
  <c r="K44" i="5"/>
  <c r="K47" i="5" s="1"/>
  <c r="K60" i="5" s="1"/>
  <c r="K36" i="5"/>
  <c r="K38" i="5" s="1"/>
  <c r="K40" i="5" s="1"/>
  <c r="K55" i="5" s="1"/>
  <c r="K50" i="5" l="1"/>
  <c r="K71" i="10"/>
  <c r="U31" i="16" s="1"/>
  <c r="J31" i="16" s="1"/>
  <c r="U37" i="16"/>
  <c r="J37" i="16" s="1"/>
  <c r="L71" i="10"/>
  <c r="V31" i="16" s="1"/>
  <c r="K31" i="16" s="1"/>
  <c r="V37" i="16"/>
  <c r="K37" i="16" s="1"/>
  <c r="K100" i="5"/>
  <c r="U70" i="16"/>
  <c r="J70" i="16" s="1"/>
  <c r="J60" i="5"/>
  <c r="J50" i="5"/>
  <c r="L118" i="5"/>
  <c r="L48" i="5"/>
  <c r="L54" i="5"/>
  <c r="N39" i="5"/>
  <c r="L117" i="5"/>
  <c r="V69" i="16" s="1"/>
  <c r="K69" i="16" s="1"/>
  <c r="T70" i="16"/>
  <c r="I70" i="16" s="1"/>
  <c r="J100" i="5"/>
  <c r="M118" i="5"/>
  <c r="L36" i="5"/>
  <c r="L38" i="5" s="1"/>
  <c r="L40" i="5" s="1"/>
  <c r="L55" i="5" s="1"/>
  <c r="L44" i="5"/>
  <c r="L47" i="5" s="1"/>
  <c r="L60" i="5" s="1"/>
  <c r="L50" i="5" l="1"/>
  <c r="T61" i="16"/>
  <c r="I61" i="16" s="1"/>
  <c r="J103" i="5"/>
  <c r="T55" i="16" s="1"/>
  <c r="I55" i="16" s="1"/>
  <c r="L100" i="5"/>
  <c r="V70" i="16"/>
  <c r="K70" i="16" s="1"/>
  <c r="U61" i="16"/>
  <c r="J61" i="16" s="1"/>
  <c r="K103" i="5"/>
  <c r="U55" i="16" s="1"/>
  <c r="J55" i="16" s="1"/>
  <c r="L103" i="5" l="1"/>
  <c r="V55" i="16" s="1"/>
  <c r="K55" i="16" s="1"/>
  <c r="V61" i="16"/>
  <c r="K61" i="16" s="1"/>
  <c r="F51" i="9"/>
  <c r="F73" i="9" s="1"/>
  <c r="P56" i="16" s="1"/>
  <c r="E56" i="16" s="1"/>
  <c r="F75" i="9" l="1"/>
  <c r="P58" i="16" s="1"/>
  <c r="E58" i="16" s="1"/>
  <c r="F77" i="9"/>
  <c r="P60" i="16" s="1"/>
  <c r="F74" i="9"/>
  <c r="P57" i="16" s="1"/>
  <c r="E57" i="16" s="1"/>
  <c r="F78" i="9" l="1"/>
  <c r="P61" i="16" s="1"/>
  <c r="E61" i="16" s="1"/>
  <c r="F72" i="9" l="1"/>
  <c r="P55" i="16" s="1"/>
  <c r="E55" i="16" s="1"/>
</calcChain>
</file>

<file path=xl/comments1.xml><?xml version="1.0" encoding="utf-8"?>
<comments xmlns="http://schemas.openxmlformats.org/spreadsheetml/2006/main">
  <authors>
    <author>ahto oja</author>
    <author>Jaanus Uiga</author>
  </authors>
  <commentList>
    <comment ref="A22" authorId="0" shapeId="0">
      <text>
        <r>
          <rPr>
            <b/>
            <sz val="9"/>
            <color indexed="81"/>
            <rFont val="Arial"/>
            <family val="2"/>
            <charset val="186"/>
          </rPr>
          <t>ahto oja:</t>
        </r>
        <r>
          <rPr>
            <sz val="9"/>
            <color indexed="81"/>
            <rFont val="Arial"/>
            <family val="2"/>
            <charset val="186"/>
          </rPr>
          <t xml:space="preserve">
surubiometaani hind koos km Nm3 ehk liitri kohta, võrreldav siis tanklas oleva bensu hinnaga lõpptabijale</t>
        </r>
      </text>
    </comment>
    <comment ref="A23" authorId="0" shapeId="0">
      <text>
        <r>
          <rPr>
            <b/>
            <sz val="9"/>
            <color indexed="81"/>
            <rFont val="Arial"/>
            <family val="2"/>
            <charset val="186"/>
          </rPr>
          <t>ahto oja:</t>
        </r>
        <r>
          <rPr>
            <sz val="9"/>
            <color indexed="81"/>
            <rFont val="Arial"/>
            <family val="2"/>
            <charset val="186"/>
          </rPr>
          <t xml:space="preserve">
hind koos km kg kohta </t>
        </r>
      </text>
    </comment>
    <comment ref="A27" authorId="0" shapeId="0">
      <text>
        <r>
          <rPr>
            <b/>
            <sz val="9"/>
            <color indexed="81"/>
            <rFont val="Arial"/>
            <family val="2"/>
            <charset val="186"/>
          </rPr>
          <t>ahto oja:</t>
        </r>
        <r>
          <rPr>
            <sz val="9"/>
            <color indexed="81"/>
            <rFont val="Arial"/>
            <family val="2"/>
            <charset val="186"/>
          </rPr>
          <t xml:space="preserve">
surumaagaasi müügihind on võetud EG kodulehelt, taandatuna kuupmeetriks tiheduse 1,35 ja ilma käibemaksuta</t>
        </r>
      </text>
    </comment>
    <comment ref="A28" authorId="0" shapeId="0">
      <text>
        <r>
          <rPr>
            <b/>
            <sz val="9"/>
            <color indexed="81"/>
            <rFont val="Arial"/>
            <family val="2"/>
            <charset val="186"/>
          </rPr>
          <t>ahto oja:</t>
        </r>
        <r>
          <rPr>
            <sz val="9"/>
            <color indexed="81"/>
            <rFont val="Arial"/>
            <family val="2"/>
            <charset val="186"/>
          </rPr>
          <t xml:space="preserve">
lisandub intressikulu 0.10 €/Nm3, uus info lehelt</t>
        </r>
      </text>
    </comment>
    <comment ref="A29" authorId="0" shapeId="0">
      <text>
        <r>
          <rPr>
            <b/>
            <sz val="9"/>
            <color indexed="81"/>
            <rFont val="Arial"/>
            <family val="2"/>
            <charset val="186"/>
          </rPr>
          <t>ahto oja:</t>
        </r>
        <r>
          <rPr>
            <sz val="9"/>
            <color indexed="81"/>
            <rFont val="Arial"/>
            <family val="2"/>
            <charset val="186"/>
          </rPr>
          <t xml:space="preserve">
otsekuludele on lisatud laenuintressikulu 0.10 €/Nm3 (põhineb 2 äriplaani keskmisel
</t>
        </r>
      </text>
    </comment>
    <comment ref="A43" authorId="0" shapeId="0">
      <text>
        <r>
          <rPr>
            <b/>
            <sz val="9"/>
            <color indexed="81"/>
            <rFont val="Arial"/>
            <family val="2"/>
            <charset val="186"/>
          </rPr>
          <t>ahto oja:</t>
        </r>
        <r>
          <rPr>
            <sz val="9"/>
            <color indexed="81"/>
            <rFont val="Arial"/>
            <family val="2"/>
            <charset val="186"/>
          </rPr>
          <t xml:space="preserve">
soome hind tanklas</t>
        </r>
      </text>
    </comment>
    <comment ref="I73" authorId="1" shapeId="0">
      <text>
        <r>
          <rPr>
            <b/>
            <sz val="9"/>
            <color indexed="81"/>
            <rFont val="Tahoma"/>
            <family val="2"/>
            <charset val="186"/>
          </rPr>
          <t>Jaanus Uiga:</t>
        </r>
        <r>
          <rPr>
            <sz val="9"/>
            <color indexed="81"/>
            <rFont val="Tahoma"/>
            <family val="2"/>
            <charset val="186"/>
          </rPr>
          <t xml:space="preserve">
Maksimaalne kodumaine tarbimine on saavutatud</t>
        </r>
      </text>
    </comment>
    <comment ref="I75" authorId="1" shapeId="0">
      <text>
        <r>
          <rPr>
            <b/>
            <sz val="9"/>
            <color indexed="81"/>
            <rFont val="Tahoma"/>
            <family val="2"/>
            <charset val="186"/>
          </rPr>
          <t>Jaanus Uiga:</t>
        </r>
        <r>
          <rPr>
            <sz val="9"/>
            <color indexed="81"/>
            <rFont val="Tahoma"/>
            <family val="2"/>
            <charset val="186"/>
          </rPr>
          <t xml:space="preserve">
Maksimaalne kodumaine tarbimine on saavutatud</t>
        </r>
      </text>
    </comment>
  </commentList>
</comments>
</file>

<file path=xl/comments2.xml><?xml version="1.0" encoding="utf-8"?>
<comments xmlns="http://schemas.openxmlformats.org/spreadsheetml/2006/main">
  <authors>
    <author>ahto oja</author>
  </authors>
  <commentList>
    <comment ref="H70" authorId="0" shapeId="0">
      <text>
        <r>
          <rPr>
            <b/>
            <sz val="9"/>
            <color indexed="81"/>
            <rFont val="Arial"/>
            <family val="2"/>
            <charset val="186"/>
          </rPr>
          <t>ahto oja:</t>
        </r>
        <r>
          <rPr>
            <sz val="9"/>
            <color indexed="81"/>
            <rFont val="Arial"/>
            <family val="2"/>
            <charset val="186"/>
          </rPr>
          <t xml:space="preserve">
kuna toetuse lagi on ette antud 50 mln ja tootmise toetuseks läheb 20, siis tanklatele jääb 30, viimasel aastal on toetus 25% et maks summa üle ei läheks  </t>
        </r>
      </text>
    </comment>
  </commentList>
</comments>
</file>

<file path=xl/comments3.xml><?xml version="1.0" encoding="utf-8"?>
<comments xmlns="http://schemas.openxmlformats.org/spreadsheetml/2006/main">
  <authors>
    <author>Olavi</author>
  </authors>
  <commentList>
    <comment ref="M76" authorId="0" shapeId="0">
      <text>
        <r>
          <rPr>
            <b/>
            <sz val="9"/>
            <color indexed="81"/>
            <rFont val="Tahoma"/>
            <family val="2"/>
            <charset val="186"/>
          </rPr>
          <t>Olavi:</t>
        </r>
        <r>
          <rPr>
            <sz val="9"/>
            <color indexed="81"/>
            <rFont val="Tahoma"/>
            <family val="2"/>
            <charset val="186"/>
          </rPr>
          <t xml:space="preserve">
amordinorm</t>
        </r>
      </text>
    </comment>
  </commentList>
</comments>
</file>

<file path=xl/comments4.xml><?xml version="1.0" encoding="utf-8"?>
<comments xmlns="http://schemas.openxmlformats.org/spreadsheetml/2006/main">
  <authors>
    <author>Olavi</author>
  </authors>
  <commentList>
    <comment ref="M75" authorId="0" shapeId="0">
      <text>
        <r>
          <rPr>
            <b/>
            <sz val="9"/>
            <color indexed="81"/>
            <rFont val="Tahoma"/>
            <family val="2"/>
            <charset val="186"/>
          </rPr>
          <t>Olavi:</t>
        </r>
        <r>
          <rPr>
            <sz val="9"/>
            <color indexed="81"/>
            <rFont val="Tahoma"/>
            <family val="2"/>
            <charset val="186"/>
          </rPr>
          <t xml:space="preserve">
amordinorm</t>
        </r>
      </text>
    </comment>
  </commentList>
</comments>
</file>

<file path=xl/comments5.xml><?xml version="1.0" encoding="utf-8"?>
<comments xmlns="http://schemas.openxmlformats.org/spreadsheetml/2006/main">
  <authors>
    <author>Olavi</author>
  </authors>
  <commentList>
    <comment ref="M74" authorId="0" shapeId="0">
      <text>
        <r>
          <rPr>
            <b/>
            <sz val="9"/>
            <color indexed="81"/>
            <rFont val="Tahoma"/>
            <family val="2"/>
            <charset val="186"/>
          </rPr>
          <t>Olavi:</t>
        </r>
        <r>
          <rPr>
            <sz val="9"/>
            <color indexed="81"/>
            <rFont val="Tahoma"/>
            <family val="2"/>
            <charset val="186"/>
          </rPr>
          <t xml:space="preserve">
amordinorm</t>
        </r>
      </text>
    </comment>
  </commentList>
</comments>
</file>

<file path=xl/comments6.xml><?xml version="1.0" encoding="utf-8"?>
<comments xmlns="http://schemas.openxmlformats.org/spreadsheetml/2006/main">
  <authors>
    <author/>
  </authors>
  <commentList>
    <comment ref="F24" authorId="0" shapeId="0">
      <text>
        <r>
          <rPr>
            <sz val="10"/>
            <color rgb="FF000000"/>
            <rFont val="Arial"/>
            <family val="2"/>
            <charset val="186"/>
          </rPr>
          <t>92 ktoe on NREAP2020 sihtarv taastuvkütuste osakaaluks transpordis
	-Ahto Oja</t>
        </r>
      </text>
    </comment>
    <comment ref="D30" authorId="0" shapeId="0">
      <text>
        <r>
          <rPr>
            <sz val="10"/>
            <color rgb="FF000000"/>
            <rFont val="Arial"/>
            <family val="2"/>
            <charset val="186"/>
          </rPr>
          <t>NREAP 2020 järgi oli 2011 kütuste tarbimine transpordis 920 ktoe? millest tuleb 92 ehk 10%  2020 a sihtarvuks? siin 714? kust see tuleb?
	-Ahto Oja</t>
        </r>
      </text>
    </comment>
    <comment ref="B33" authorId="0" shapeId="0">
      <text>
        <r>
          <rPr>
            <sz val="10"/>
            <color rgb="FF000000"/>
            <rFont val="Arial"/>
            <family val="2"/>
            <charset val="186"/>
          </rPr>
          <t>saadud: kogutoodang miinus kodumaine tarbimine
	-Ahto Oja</t>
        </r>
      </text>
    </comment>
    <comment ref="D37" authorId="0" shapeId="0">
      <text>
        <r>
          <rPr>
            <sz val="10"/>
            <color rgb="FF000000"/>
            <rFont val="Arial"/>
            <family val="2"/>
            <charset val="186"/>
          </rPr>
          <t>hind tuleneb Arengufondi biometaani avalike hüvede mudeljaama omahinna arvutusest, lisatuna trnspordi ja tankla kulu
	-Ahto Oja</t>
        </r>
      </text>
    </comment>
    <comment ref="E37" authorId="0" shapeId="0">
      <text>
        <r>
          <rPr>
            <sz val="10"/>
            <color rgb="FF000000"/>
            <rFont val="Arial"/>
            <family val="2"/>
            <charset val="186"/>
          </rPr>
          <t>kuna biometaani hinda ei ole, panin selle muu majanduse kasvamise tõttu kasvama 1% võrreldes eelmise aastaga
	-Ahto Oja</t>
        </r>
      </text>
    </comment>
    <comment ref="D38" authorId="0" shapeId="0">
      <text>
        <r>
          <rPr>
            <sz val="10"/>
            <color rgb="FF000000"/>
            <rFont val="Arial"/>
            <family val="2"/>
            <charset val="186"/>
          </rPr>
          <t>hind ENMAK kütuste tabelist IEA outlook 2013
	-Ahto Oja</t>
        </r>
      </text>
    </comment>
    <comment ref="E38" authorId="0" shapeId="0">
      <text>
        <r>
          <rPr>
            <sz val="10"/>
            <color rgb="FF000000"/>
            <rFont val="Arial"/>
            <family val="2"/>
            <charset val="186"/>
          </rPr>
          <t>kütuste tabelis 2015 hinda ei ole, võtsin 2012 ja 2020 keskmise
	-Ahto Oja</t>
        </r>
      </text>
    </comment>
    <comment ref="B39" authorId="0" shapeId="0">
      <text>
        <r>
          <rPr>
            <sz val="10"/>
            <color rgb="FF000000"/>
            <rFont val="Arial"/>
            <family val="2"/>
            <charset val="186"/>
          </rPr>
          <t>Asrvutasin praegu surumaagaasi hinda tanklates GJ kohta, hinna 0,799 EUR/kg
	-Mari Jüssi
tanklas on hind kg kohta, kus on aga kütteväärtust vähem, et saada kuupmeetri kohta, kus on 10 kWh tuleb see jagada 1.4 siis ongi samas suurusjärgus nagu maagaas
	-Ahto Oja</t>
        </r>
      </text>
    </comment>
    <comment ref="L51" authorId="0" shapeId="0">
      <text>
        <r>
          <rPr>
            <sz val="10"/>
            <color rgb="FF000000"/>
            <rFont val="Arial"/>
            <family val="2"/>
            <charset val="186"/>
          </rPr>
          <t>tuleneb Biometaani avalike hüvede tööst, ilma väliskaubanduse mõjuta, koos sellega on avalikud hüved aastas maksimaalse biometaani tootmise puhul (371 - ilma prügilagaasita) 271 mln €
	-Ahto Oja</t>
        </r>
      </text>
    </comment>
    <comment ref="C57" authorId="0" shapeId="0">
      <text>
        <r>
          <rPr>
            <sz val="10"/>
            <color rgb="FF000000"/>
            <rFont val="Arial"/>
            <family val="2"/>
            <charset val="186"/>
          </rPr>
          <t>tuleneb abitabelis toodud tehnoloogiapakkujate keskmisest energiatarbest, kuna eestis biometaani tootmise reaalseid andmeid ei ole
	-Ahto Oja</t>
        </r>
      </text>
    </comment>
    <comment ref="B61" authorId="0" shapeId="0">
      <text>
        <r>
          <rPr>
            <sz val="10"/>
            <color rgb="FF000000"/>
            <rFont val="Arial"/>
            <family val="2"/>
            <charset val="186"/>
          </rPr>
          <t>biometaan otsekulu tuleneb Biometaani avalike hüvede tööst table 7 lk 21, (ilma finantskuludeta, kulum ja laenuintressi tagasimakse)
	-Ahto Oja</t>
        </r>
      </text>
    </comment>
    <comment ref="B62" authorId="0" shapeId="0">
      <text>
        <r>
          <rPr>
            <sz val="10"/>
            <color rgb="FF000000"/>
            <rFont val="Arial"/>
            <family val="2"/>
            <charset val="186"/>
          </rPr>
          <t>toorme ostukulu 0.17€/Nm3 kohta on võetud Biometaani avalike hüvede tööst tabel 5 lk. 20
	-Ahto Oja</t>
        </r>
      </text>
    </comment>
    <comment ref="B63" authorId="0" shapeId="0">
      <text>
        <r>
          <rPr>
            <sz val="10"/>
            <color rgb="FF000000"/>
            <rFont val="Arial"/>
            <family val="2"/>
            <charset val="186"/>
          </rPr>
          <t>kuna eestis puhastuskulu st töötlemiskulu ei ole praktikast võimalik võtta on kasutatud Biometaani avalike hüvede töös toodud Saksamaa keskmisi andmeid joonis 3 lk 23
	-Ahto Oja</t>
        </r>
      </text>
    </comment>
    <comment ref="B64" authorId="0" shapeId="0">
      <text>
        <r>
          <rPr>
            <sz val="10"/>
            <color rgb="FF000000"/>
            <rFont val="Arial"/>
            <family val="2"/>
            <charset val="186"/>
          </rPr>
          <t>aluseks on võetud eesti esimete biometaani arendusprojektide tehnoloogiate hinnapakkumised ja referentsiks on Biometaani avalike hüvede töös Saksamaa keskmised andmed joonis 3 lk 23
	-Ahto Oja</t>
        </r>
      </text>
    </comment>
  </commentList>
</comments>
</file>

<file path=xl/comments7.xml><?xml version="1.0" encoding="utf-8"?>
<comments xmlns="http://schemas.openxmlformats.org/spreadsheetml/2006/main">
  <authors>
    <author>Mari Jüssi</author>
  </authors>
  <commentList>
    <comment ref="G3" authorId="0" shapeId="0">
      <text>
        <r>
          <rPr>
            <b/>
            <sz val="9"/>
            <color rgb="FF000000"/>
            <rFont val="Tahoma"/>
            <family val="2"/>
            <charset val="186"/>
          </rPr>
          <t>Mari Jüssi:</t>
        </r>
        <r>
          <rPr>
            <sz val="9"/>
            <color rgb="FF000000"/>
            <rFont val="Tahoma"/>
            <family val="2"/>
            <charset val="186"/>
          </rPr>
          <t xml:space="preserve">
20122 ja 2020 keskmine
</t>
        </r>
      </text>
    </comment>
    <comment ref="F9" authorId="0" shapeId="0">
      <text>
        <r>
          <rPr>
            <b/>
            <sz val="9"/>
            <color indexed="81"/>
            <rFont val="Tahoma"/>
            <family val="2"/>
            <charset val="186"/>
          </rPr>
          <t>Mari Jüssi:</t>
        </r>
        <r>
          <rPr>
            <sz val="9"/>
            <color indexed="81"/>
            <rFont val="Tahoma"/>
            <family val="2"/>
            <charset val="186"/>
          </rPr>
          <t xml:space="preserve">
Stream ja TAK tööde põhjalt
</t>
        </r>
      </text>
    </comment>
    <comment ref="F10" authorId="0" shapeId="0">
      <text>
        <r>
          <rPr>
            <b/>
            <sz val="9"/>
            <color indexed="81"/>
            <rFont val="Tahoma"/>
            <family val="2"/>
            <charset val="186"/>
          </rPr>
          <t>Mari Jüssi:</t>
        </r>
        <r>
          <rPr>
            <sz val="9"/>
            <color indexed="81"/>
            <rFont val="Tahoma"/>
            <family val="2"/>
            <charset val="186"/>
          </rPr>
          <t xml:space="preserve">
Stream
</t>
        </r>
      </text>
    </comment>
    <comment ref="F11" authorId="0" shapeId="0">
      <text>
        <r>
          <rPr>
            <b/>
            <sz val="9"/>
            <color indexed="81"/>
            <rFont val="Tahoma"/>
            <family val="2"/>
            <charset val="186"/>
          </rPr>
          <t>Mari Jüssi:</t>
        </r>
        <r>
          <rPr>
            <sz val="9"/>
            <color indexed="81"/>
            <rFont val="Tahoma"/>
            <family val="2"/>
            <charset val="186"/>
          </rPr>
          <t xml:space="preserve">
Ahto
</t>
        </r>
      </text>
    </comment>
    <comment ref="F12" authorId="0" shapeId="0">
      <text>
        <r>
          <rPr>
            <b/>
            <sz val="9"/>
            <color indexed="81"/>
            <rFont val="Tahoma"/>
            <family val="2"/>
            <charset val="186"/>
          </rPr>
          <t>Mari Jüssi:</t>
        </r>
        <r>
          <rPr>
            <sz val="9"/>
            <color indexed="81"/>
            <rFont val="Tahoma"/>
            <family val="2"/>
            <charset val="186"/>
          </rPr>
          <t xml:space="preserve">
Ahto
</t>
        </r>
      </text>
    </comment>
    <comment ref="E13" authorId="0" shapeId="0">
      <text>
        <r>
          <rPr>
            <b/>
            <sz val="9"/>
            <color indexed="81"/>
            <rFont val="Tahoma"/>
            <family val="2"/>
            <charset val="186"/>
          </rPr>
          <t>Mari Jüssi:</t>
        </r>
        <r>
          <rPr>
            <sz val="9"/>
            <color indexed="81"/>
            <rFont val="Tahoma"/>
            <family val="2"/>
            <charset val="186"/>
          </rPr>
          <t xml:space="preserve">
Eesti Liberal scenario hind
</t>
        </r>
      </text>
    </comment>
    <comment ref="G15" authorId="0" shapeId="0">
      <text>
        <r>
          <rPr>
            <b/>
            <sz val="9"/>
            <color rgb="FF000000"/>
            <rFont val="Tahoma"/>
            <family val="2"/>
            <charset val="186"/>
          </rPr>
          <t>Mari Jüssi:</t>
        </r>
        <r>
          <rPr>
            <sz val="9"/>
            <color rgb="FF000000"/>
            <rFont val="Tahoma"/>
            <family val="2"/>
            <charset val="186"/>
          </rPr>
          <t xml:space="preserve">
20122 ja 2020 keskmine
</t>
        </r>
      </text>
    </comment>
    <comment ref="H15" authorId="0" shapeId="0">
      <text>
        <r>
          <rPr>
            <b/>
            <sz val="9"/>
            <color indexed="81"/>
            <rFont val="Tahoma"/>
            <family val="2"/>
            <charset val="186"/>
          </rPr>
          <t>Mari Jüssi:</t>
        </r>
        <r>
          <rPr>
            <sz val="9"/>
            <color indexed="81"/>
            <rFont val="Tahoma"/>
            <family val="2"/>
            <charset val="186"/>
          </rPr>
          <t xml:space="preserve">
eeldades, et keskmine ei ole madalam kui praegu, aga muutub ETD järgi
</t>
        </r>
      </text>
    </comment>
    <comment ref="C16" authorId="0" shapeId="0">
      <text>
        <r>
          <rPr>
            <b/>
            <sz val="9"/>
            <color indexed="81"/>
            <rFont val="Tahoma"/>
            <family val="2"/>
            <charset val="186"/>
          </rPr>
          <t>Mari Jüssi:</t>
        </r>
        <r>
          <rPr>
            <sz val="9"/>
            <color indexed="81"/>
            <rFont val="Tahoma"/>
            <family val="2"/>
            <charset val="186"/>
          </rPr>
          <t xml:space="preserve">
keskmine etd järgi on väiksem kui praegu - korrutan läbi, et tuleks sama keskmine
</t>
        </r>
      </text>
    </comment>
    <comment ref="P16" authorId="0" shapeId="0">
      <text>
        <r>
          <rPr>
            <b/>
            <sz val="9"/>
            <color indexed="81"/>
            <rFont val="Tahoma"/>
            <family val="2"/>
            <charset val="186"/>
          </rPr>
          <t>Mari Jüssi:</t>
        </r>
        <r>
          <rPr>
            <sz val="9"/>
            <color indexed="81"/>
            <rFont val="Tahoma"/>
            <family val="2"/>
            <charset val="186"/>
          </rPr>
          <t xml:space="preserve">
20 eur tonn
</t>
        </r>
      </text>
    </comment>
  </commentList>
</comments>
</file>

<file path=xl/comments8.xml><?xml version="1.0" encoding="utf-8"?>
<comments xmlns="http://schemas.openxmlformats.org/spreadsheetml/2006/main">
  <authors>
    <author>ahto oja</author>
  </authors>
  <commentList>
    <comment ref="A21" authorId="0" shapeId="0">
      <text>
        <r>
          <rPr>
            <b/>
            <sz val="9"/>
            <color indexed="81"/>
            <rFont val="Arial"/>
            <family val="2"/>
            <charset val="186"/>
          </rPr>
          <t>ahto oja:</t>
        </r>
        <r>
          <rPr>
            <sz val="9"/>
            <color indexed="81"/>
            <rFont val="Arial"/>
            <family val="2"/>
            <charset val="186"/>
          </rPr>
          <t xml:space="preserve">
surubiometaani hind koos km Nm3 ehk liitri kohta, võrreldav siis tanklas oleva bensu hinnaga lõpptabijale</t>
        </r>
      </text>
    </comment>
    <comment ref="A22" authorId="0" shapeId="0">
      <text>
        <r>
          <rPr>
            <b/>
            <sz val="9"/>
            <color indexed="81"/>
            <rFont val="Arial"/>
            <family val="2"/>
            <charset val="186"/>
          </rPr>
          <t>ahto oja:</t>
        </r>
        <r>
          <rPr>
            <sz val="9"/>
            <color indexed="81"/>
            <rFont val="Arial"/>
            <family val="2"/>
            <charset val="186"/>
          </rPr>
          <t xml:space="preserve">
hind koos km kg kohta </t>
        </r>
      </text>
    </comment>
    <comment ref="A26" authorId="0" shapeId="0">
      <text>
        <r>
          <rPr>
            <b/>
            <sz val="9"/>
            <color indexed="81"/>
            <rFont val="Arial"/>
            <family val="2"/>
            <charset val="186"/>
          </rPr>
          <t>ahto oja:</t>
        </r>
        <r>
          <rPr>
            <sz val="9"/>
            <color indexed="81"/>
            <rFont val="Arial"/>
            <family val="2"/>
            <charset val="186"/>
          </rPr>
          <t xml:space="preserve">
surubiometaani müügihind on võetud EG kodulehelt, taandatuna kuupmeetriks tiheduse 1,35 ja ilma käibemaksuta</t>
        </r>
      </text>
    </comment>
    <comment ref="A27" authorId="0" shapeId="0">
      <text>
        <r>
          <rPr>
            <b/>
            <sz val="9"/>
            <color indexed="81"/>
            <rFont val="Arial"/>
            <family val="2"/>
            <charset val="186"/>
          </rPr>
          <t>ahto oja:</t>
        </r>
        <r>
          <rPr>
            <sz val="9"/>
            <color indexed="81"/>
            <rFont val="Arial"/>
            <family val="2"/>
            <charset val="186"/>
          </rPr>
          <t xml:space="preserve">
lisandub intressikulu 0.10 €/Nm3, uus info lehelt</t>
        </r>
      </text>
    </comment>
    <comment ref="A28" authorId="0" shapeId="0">
      <text>
        <r>
          <rPr>
            <b/>
            <sz val="9"/>
            <color indexed="81"/>
            <rFont val="Arial"/>
            <family val="2"/>
            <charset val="186"/>
          </rPr>
          <t>ahto oja:</t>
        </r>
        <r>
          <rPr>
            <sz val="9"/>
            <color indexed="81"/>
            <rFont val="Arial"/>
            <family val="2"/>
            <charset val="186"/>
          </rPr>
          <t xml:space="preserve">
otsekuludele on lisatud laenuintressikulu 0.10 €/Nm3 (põhineb 2 äriplaani keskmisel
</t>
        </r>
      </text>
    </comment>
    <comment ref="H30" authorId="0" shapeId="0">
      <text>
        <r>
          <rPr>
            <b/>
            <sz val="9"/>
            <color indexed="81"/>
            <rFont val="Arial"/>
            <family val="2"/>
            <charset val="186"/>
          </rPr>
          <t>ahto oja:</t>
        </r>
        <r>
          <rPr>
            <sz val="9"/>
            <color indexed="81"/>
            <rFont val="Arial"/>
            <family val="2"/>
            <charset val="186"/>
          </rPr>
          <t xml:space="preserve">
soodustamaks biometaani eelistamist maagaasile võiks surumaagaas jääda biometaanist natuke kallimaks, et kindlustada esmalt kogu toodetud biometaani tarbimine , aga pole siinkohal arvestatud</t>
        </r>
      </text>
    </comment>
    <comment ref="A42" authorId="0" shapeId="0">
      <text>
        <r>
          <rPr>
            <b/>
            <sz val="9"/>
            <color indexed="81"/>
            <rFont val="Arial"/>
            <family val="2"/>
            <charset val="186"/>
          </rPr>
          <t>ahto oja:</t>
        </r>
        <r>
          <rPr>
            <sz val="9"/>
            <color indexed="81"/>
            <rFont val="Arial"/>
            <family val="2"/>
            <charset val="186"/>
          </rPr>
          <t xml:space="preserve">
soome hind tanklas</t>
        </r>
      </text>
    </comment>
  </commentList>
</comments>
</file>

<file path=xl/sharedStrings.xml><?xml version="1.0" encoding="utf-8"?>
<sst xmlns="http://schemas.openxmlformats.org/spreadsheetml/2006/main" count="4669" uniqueCount="1229">
  <si>
    <t>1GWh=3.6TJ</t>
  </si>
  <si>
    <t>1 PJ= 1000 TJ</t>
  </si>
  <si>
    <t>1 ton of oil e</t>
  </si>
  <si>
    <t>1 toe</t>
  </si>
  <si>
    <t>NM3</t>
  </si>
  <si>
    <t>Biometaani kütteväärtus</t>
  </si>
  <si>
    <t>quivalent</t>
  </si>
  <si>
    <t/>
  </si>
  <si>
    <t>2050, mln m³/a</t>
  </si>
  <si>
    <t>2050, TJ/a</t>
  </si>
  <si>
    <t>kWh/Nm3</t>
  </si>
  <si>
    <t>= appr. 1,12</t>
  </si>
  <si>
    <t>toe</t>
  </si>
  <si>
    <t>Biometaan</t>
  </si>
  <si>
    <t>MWh/1000 Nm3</t>
  </si>
  <si>
    <t>5 cubic meters</t>
  </si>
  <si>
    <t>ktoe</t>
  </si>
  <si>
    <t>Bioetanool</t>
  </si>
  <si>
    <t>GWh/(1000 000 Nm3)</t>
  </si>
  <si>
    <t>of natural gas</t>
  </si>
  <si>
    <t>http://www.gnc.org.ar/downloads/Unit%20Conversion%20_%20Oil%20Indus...pdf</t>
  </si>
  <si>
    <t>Bioetanooli kütteväärtus</t>
  </si>
  <si>
    <t>Energiaühikud</t>
  </si>
  <si>
    <t>MJ/kg</t>
  </si>
  <si>
    <t>MWh</t>
  </si>
  <si>
    <t>GJ</t>
  </si>
  <si>
    <t>Gcal</t>
  </si>
  <si>
    <t>MWh/t</t>
  </si>
  <si>
    <t>11.63</t>
  </si>
  <si>
    <t>41.868</t>
  </si>
  <si>
    <t>MWh/m3</t>
  </si>
  <si>
    <t>0.86</t>
  </si>
  <si>
    <t>0.02388</t>
  </si>
  <si>
    <t>0.2778</t>
  </si>
  <si>
    <t>0.2388</t>
  </si>
  <si>
    <t>0.1</t>
  </si>
  <si>
    <t>1.163</t>
  </si>
  <si>
    <t>4.1868</t>
  </si>
  <si>
    <t>Stsenaarium</t>
  </si>
  <si>
    <t>Tulemus</t>
  </si>
  <si>
    <t>Maksumus, mln €</t>
  </si>
  <si>
    <t>Vähene sekkumine</t>
  </si>
  <si>
    <t>Biometaani toodetakse 2020. aastal 5 % transpordikütuste tarbimise mahust (60 mln Nm³)</t>
  </si>
  <si>
    <t>Bioetanooli toodetakse 100 000 t/a.</t>
  </si>
  <si>
    <t>-</t>
  </si>
  <si>
    <t>Biometaani toodetakse 2020. aastal 10 % transpordikütuste tarbimise mahust (120 mln Nm³)</t>
  </si>
  <si>
    <t>2020. aastal tarbitakse 25 000 t bioetanooli (5 % nõue) ning eksporditakse 75 000 t.</t>
  </si>
  <si>
    <t>2030. aastal tarbitakse 50 000 t/a bioetanooli (10 %), ülejäänu eksporditakse</t>
  </si>
  <si>
    <t>Mittesekkuv</t>
  </si>
  <si>
    <t>Biometaani tootmist Eestis ei toimu</t>
  </si>
  <si>
    <t>Bioetanooli Eestis ei toodeta - kogu kohustuslik segatav bioetanooli (ja biodiisli) kogus imporditakse.</t>
  </si>
  <si>
    <t>Metaankütustest on kasutusel ainult maagaas</t>
  </si>
  <si>
    <t>Sekkuv</t>
  </si>
  <si>
    <t>Aastal 2020 toodetakse biometaani 190 mln Nm³ (15 %)</t>
  </si>
  <si>
    <t>Aastal 2020 toodetakse bioetanooli 120 000 t (15 %)</t>
  </si>
  <si>
    <t>Aastal 2030 toodetakse biometaani 380 mln Nm³ (39 %)</t>
  </si>
  <si>
    <t>Aastal 2030 toodetakse bioetanooli 220 000 t (15 %)</t>
  </si>
  <si>
    <t>Saadakse 271 mln €/aastas avalikke hüvesid</t>
  </si>
  <si>
    <t>Saadakse 170 mln €/aastas avalikke hüvesid</t>
  </si>
  <si>
    <t>* Stsenaariumi "Mittesekkuv" maksumus väljendab saamata jäänud avalikke hüvesid</t>
  </si>
  <si>
    <t>Biometaani tootmise ja tarbimise eeldused</t>
  </si>
  <si>
    <t>1.</t>
  </si>
  <si>
    <t>omadused</t>
  </si>
  <si>
    <t>allikas</t>
  </si>
  <si>
    <t>väärtus, keskmine MJ/NM3</t>
  </si>
  <si>
    <t>TJ</t>
  </si>
  <si>
    <t>1.1 biometaani omaduste aluseks on võetud Rootsi biometaani omadused</t>
  </si>
  <si>
    <t>http://www.energiatalgud.ee/img_auth.php/8/8f/Ettepanekud_biometaani_kasutuselevotuks_Eestis.pdf</t>
  </si>
  <si>
    <t>Kütteväärtus (Wobbe index)</t>
  </si>
  <si>
    <t>43.9-47,3 (higher) MJ/Nm3</t>
  </si>
  <si>
    <t>EUROOPA PARLAMENDI JA NÕUKOGU DIREKTIIV 2009/28/EÜ</t>
  </si>
  <si>
    <t>http://eur-lex.europa.eu/LexUriServ/LexUriServ.do?uri=OJ:L:2009:140:0016:0062:ET:PDF</t>
  </si>
  <si>
    <t>Metaanisisaldus</t>
  </si>
  <si>
    <t>&gt;97%</t>
  </si>
  <si>
    <t>CO2</t>
  </si>
  <si>
    <t>&lt; 4 vol %</t>
  </si>
  <si>
    <t>2.</t>
  </si>
  <si>
    <t>kogused</t>
  </si>
  <si>
    <t>mln Nm3</t>
  </si>
  <si>
    <t>CO, mol %</t>
  </si>
  <si>
    <t>2.1 Stsenade koostamisel on lähtutud ENMAK 2030 ettevalmistavas etapis välja töötatud biometaani potentsiaalist</t>
  </si>
  <si>
    <t>O2, vol %</t>
  </si>
  <si>
    <t>&lt; 0.1</t>
  </si>
  <si>
    <t>2.2 Biometaani maksimaalne kasutatav potentsiaal pikas perspektiivis</t>
  </si>
  <si>
    <t>H2, vol %</t>
  </si>
  <si>
    <t>H2S, mg/Nm3</t>
  </si>
  <si>
    <t>&lt; 10ppm</t>
  </si>
  <si>
    <t>Merkaptaanid, mg/Nm3</t>
  </si>
  <si>
    <t>ühik</t>
  </si>
  <si>
    <t>Üldväävel, mgS/Nm3</t>
  </si>
  <si>
    <t>&lt; 23</t>
  </si>
  <si>
    <t>kulud</t>
  </si>
  <si>
    <t>NH3, mg/Nm3</t>
  </si>
  <si>
    <t>&lt; 20</t>
  </si>
  <si>
    <t>toorme ostukulu</t>
  </si>
  <si>
    <t>H2O</t>
  </si>
  <si>
    <t>&lt; 32 mg/m3</t>
  </si>
  <si>
    <t>ainult silo ostetakse</t>
  </si>
  <si>
    <t>Süsivesiniku kastepunkt</t>
  </si>
  <si>
    <t>silo transport BGJ on hinna sees</t>
  </si>
  <si>
    <t>THT</t>
  </si>
  <si>
    <t>silotonni hind €/t</t>
  </si>
  <si>
    <t>€/t</t>
  </si>
  <si>
    <t>Mercury (Hg) `g/Nm3</t>
  </si>
  <si>
    <t>silotonni hektarilt</t>
  </si>
  <si>
    <t>t/ha</t>
  </si>
  <si>
    <t>Siloxanes (as Si)</t>
  </si>
  <si>
    <t>hektarite kogus</t>
  </si>
  <si>
    <t>F mg/Nm3</t>
  </si>
  <si>
    <t>kasutamata rohumaad 50%</t>
  </si>
  <si>
    <t>Cl mg/Nm3</t>
  </si>
  <si>
    <t>kasutuses rohumaad 50% kel pole loomi</t>
  </si>
  <si>
    <t>Dust mg/Nm3</t>
  </si>
  <si>
    <t>&lt; 1 μm</t>
  </si>
  <si>
    <t>põllumaad MAK järgi 5%</t>
  </si>
  <si>
    <t>HCl ppmv</t>
  </si>
  <si>
    <t>HCN ppmv</t>
  </si>
  <si>
    <t>BTX (Benzene, Toluene, Xylene) ppmv</t>
  </si>
  <si>
    <t>Biometaan teadmistepõhine stsena, Maksimaalne kohapealsete kütuste kasutamine</t>
  </si>
  <si>
    <t>Biometaani tooraine</t>
  </si>
  <si>
    <t>Poollooduslikud kooslused, GWh</t>
  </si>
  <si>
    <t>Kasutamata maadelt, GWh</t>
  </si>
  <si>
    <t>Põllumaad, GWh</t>
  </si>
  <si>
    <t>Läga ja sõnnik, GWh</t>
  </si>
  <si>
    <t>Biojäätmed, GWh</t>
  </si>
  <si>
    <t>Tööstusjäätmed, GWh</t>
  </si>
  <si>
    <t>Reoveesete, GWh</t>
  </si>
  <si>
    <t>Kokku, GWh</t>
  </si>
  <si>
    <t>Kokku, PJ</t>
  </si>
  <si>
    <t>kontroll</t>
  </si>
  <si>
    <t>Allikas: Eesti energiaressursside ülevaade</t>
  </si>
  <si>
    <t>Biometaani kumuleeruv kogus</t>
  </si>
  <si>
    <t>https://docs.google.com/spreadsheet/ccc?key=0ApEhZuzxKPKgdE5QSFpXaUNnclhIX3FkTjBoaXBGaGc#gid=8</t>
  </si>
  <si>
    <t>5 aasta biometaani kogus lisandub antud aastal</t>
  </si>
  <si>
    <t>1 GWh=3.6 TJ</t>
  </si>
  <si>
    <t>1 TJ = 0.023884 ktoe</t>
  </si>
  <si>
    <t>1 Nm3 = 10 kWh primaarenergiat</t>
  </si>
  <si>
    <t>1 mln Nm3 biometaani = 1 GWH primaarenergiat</t>
  </si>
  <si>
    <t>10000000 Nm3 biometaani</t>
  </si>
  <si>
    <t>1GWh</t>
  </si>
  <si>
    <t>ehk 10 mln Nm3</t>
  </si>
  <si>
    <t>1 GWh = ktoe</t>
  </si>
  <si>
    <t>Biometaani potentsiaal</t>
  </si>
  <si>
    <t>Ühik</t>
  </si>
  <si>
    <t>kWh</t>
  </si>
  <si>
    <t>1 Nm3</t>
  </si>
  <si>
    <t>kumuleeruv</t>
  </si>
  <si>
    <t>GWh</t>
  </si>
  <si>
    <t>5 aasta kogus</t>
  </si>
  <si>
    <t>Biometaani tarbimine Eestis</t>
  </si>
  <si>
    <t>transport EE</t>
  </si>
  <si>
    <t>Kokku kõikide kütuste tarbimine Eestis</t>
  </si>
  <si>
    <t>Vedelkütused 2010 TJ</t>
  </si>
  <si>
    <t>Biometaani osakaal kütuste tarbimisest Eestis</t>
  </si>
  <si>
    <t>%</t>
  </si>
  <si>
    <t>Biometaan eksporti</t>
  </si>
  <si>
    <t>Biometaani ekspordi osakaal % (TJ)</t>
  </si>
  <si>
    <t>Biometaani müügihind</t>
  </si>
  <si>
    <t>€/GJ</t>
  </si>
  <si>
    <t>maagaasi hind</t>
  </si>
  <si>
    <t>CNG hind tanklas 0.779 €/kg (koos km)</t>
  </si>
  <si>
    <t>Diisli hind</t>
  </si>
  <si>
    <t>Biometaani hind streami järgi, arvestatuna ekspordis</t>
  </si>
  <si>
    <t>€/TJ</t>
  </si>
  <si>
    <t>Biometaani toetusvajadus aastas ühiku kohta €/GJ</t>
  </si>
  <si>
    <t>toetusvajadus aastas kodumaisele tarbimisele</t>
  </si>
  <si>
    <t>M€/a</t>
  </si>
  <si>
    <t>toetusvajadus aastas ekspordile, kui müügihind on võrdne maagaasihinnaga Eestis</t>
  </si>
  <si>
    <t>müügitulu biometaani ekspordist Stream hinnaga</t>
  </si>
  <si>
    <t>M€</t>
  </si>
  <si>
    <t>müügitulu biometaani ekspordist müües maagaasi hinnaga</t>
  </si>
  <si>
    <t>tulu biometaani müügist kodumaises tarbimises müües maagaasi hinnaga</t>
  </si>
  <si>
    <t>tulu  biometaani müügist kokku, kodumaine tarbimine ja eksport müües maagaasi hinnaga</t>
  </si>
  <si>
    <t>Avalikud hüved aastas mln € 1 mln Nm3 biometaani kohta</t>
  </si>
  <si>
    <t>avalikud hüved 5 aastas kokku</t>
  </si>
  <si>
    <t>kogukasu ühiskonnale: avalikud hüved lahutatud kodamaise tarbimise toetusvajadus</t>
  </si>
  <si>
    <t>kogukasu ühiskonnale: avalikud hüved lahutatud kodumainetoetusvajadus koos eksporditoetusega</t>
  </si>
  <si>
    <t>Primaarenergia tarbimine biometaani tootmiseks (aastas)</t>
  </si>
  <si>
    <t>TWh</t>
  </si>
  <si>
    <t>PJ</t>
  </si>
  <si>
    <t>Biokütuste tootmise ja jaotamise otsekulud - M€ aastas kokku</t>
  </si>
  <si>
    <t>MEUR</t>
  </si>
  <si>
    <t>Otsekulud (tootmine) 0,35 €/Nm3</t>
  </si>
  <si>
    <t>Toorme ostukulu  0.17€/Nm3</t>
  </si>
  <si>
    <t>Töötlemise kulu 0,15 €/Nm3</t>
  </si>
  <si>
    <t>Biometaani transpordikulud lõpptarbijani (kas mööda maagaasitoru või surugaasiballoonides off-grid tarbijateni, kulu on siis kas maagaasitoruga liitumise kulu või suruballoonidesse kompremeerime ja vedu</t>
  </si>
  <si>
    <t>Käive biokütuste tootmisest/müügist, juhul kui müüakse maagaasi hinnaga</t>
  </si>
  <si>
    <t>Käive kui müüakse biometaani hinnaga</t>
  </si>
  <si>
    <t>CAPEX 1 mln Nm3 biometaani tootmiseksm tankimiseks ja tarbimiseks</t>
  </si>
  <si>
    <t>Investeeringud</t>
  </si>
  <si>
    <t>Ehitustööd</t>
  </si>
  <si>
    <t>CAPEX 1 mln Nm3 biometaan seadmed</t>
  </si>
  <si>
    <t>Seadmed</t>
  </si>
  <si>
    <t>Tanklad</t>
  </si>
  <si>
    <t>Sõidukite ümberehitus</t>
  </si>
  <si>
    <t>Kasutatavad ressursid</t>
  </si>
  <si>
    <t>ha</t>
  </si>
  <si>
    <t>koefitsient kogu biometaani aastasest kogusest</t>
  </si>
  <si>
    <t>Nm3 biometaani</t>
  </si>
  <si>
    <t>Nm3 biometaani 1 ha kohta</t>
  </si>
  <si>
    <t>Maakasutus</t>
  </si>
  <si>
    <t>mln Nm3 biometaani kasutamata rohumaadelt</t>
  </si>
  <si>
    <t>kasutamata rohumaad</t>
  </si>
  <si>
    <t>kasutuses rohumaad ilma silo kasutuseta</t>
  </si>
  <si>
    <t>pool-looduslikud kooslused, mida niidetakse looduskaitse eesmärkidel</t>
  </si>
  <si>
    <t>5% põllumaast vastavalt Maaelu Arengukavale</t>
  </si>
  <si>
    <t>Kaasnevad tooted - kääritusjäägi müük mineraalväetise hinnaga 500 €/t</t>
  </si>
  <si>
    <t>Kääritusjäägi müügist kokku saadav tulu mln €</t>
  </si>
  <si>
    <t>CO2 emissiooni vähenemine tootmisega seoses</t>
  </si>
  <si>
    <t>tonni/aastas</t>
  </si>
  <si>
    <t>kokku ärahoitud CO2 tonni</t>
  </si>
  <si>
    <t>fossiilkütuste CO2 ekvivalent grammi MJ kohta</t>
  </si>
  <si>
    <t>vedelate fossiilkütuste tarbimine</t>
  </si>
  <si>
    <t>vedelate fossiilkütuste tarbimisest tulenev CO2 ekv heide</t>
  </si>
  <si>
    <t>t/a</t>
  </si>
  <si>
    <t>Biometaani WTT (Well-to Tank ehk Viljelus, töötlemine, transport ja jaotamine kokku) CO2 ekv heide keskmistatud vaikeväärtusega</t>
  </si>
  <si>
    <t>Biometaani kumuleeruv kogus, 1 aastas</t>
  </si>
  <si>
    <t>biometaani kogus lisandub antud aastal</t>
  </si>
  <si>
    <t>aastas lisanduv kogus</t>
  </si>
  <si>
    <t>Biometaani müügihind (omahind + 7% tulunorm)</t>
  </si>
  <si>
    <t>maksimaalne kogutulu biometaani müügist kodumaises tarbimises müües maagaasi hinnaga, pluss toetus, + müügitulu stream hinnaga</t>
  </si>
  <si>
    <t>ilma väliskaubandusbilansita</t>
  </si>
  <si>
    <t>Avalikud hüved aastas 1 mln Nm3 biometaani kohta</t>
  </si>
  <si>
    <t>avalikud hüved aastas kokku</t>
  </si>
  <si>
    <t>kogukasu ühiskonnale: avalikud hüved lahutatud kodumaine toetusvajadus koos eksporditoetusega</t>
  </si>
  <si>
    <t>Biometaani tootmise energia omatarbe osakaal biometaani primaarenergiast</t>
  </si>
  <si>
    <t>maksmaalne kogutulu biometaani müügist kodumaises tarbimises müües maagaasi hinnaga, pluss toetus, + müügitulu stream hinnaga - toodud võrdluseks</t>
  </si>
  <si>
    <t>CAPEX 1 mln Nm3 biometaani tootmiseks, tankimiseks ja tarbimiseks</t>
  </si>
  <si>
    <t>vt abitabelid</t>
  </si>
  <si>
    <t/>
  </si>
  <si>
    <t>Biometaan vähesekkuv stsena, minimaalne kohapealsete kütuste kasutamine</t>
  </si>
  <si>
    <t>Biometaan mittesekkuv stsena, kohapealsete kütuste tootmiseta</t>
  </si>
  <si>
    <t>Biometaani import</t>
  </si>
  <si>
    <t>Bioetanooli teadmistepõhine stsena, Maksimaalne kohapealsete kütuste kasutamine</t>
  </si>
  <si>
    <t>Bioetanooli kumuleeruv kogus</t>
  </si>
  <si>
    <t>tonni</t>
  </si>
  <si>
    <t>bioetanooli kogus lisandub antud aastal</t>
  </si>
  <si>
    <t>1 tonn = 1234,6 l bioetanooli</t>
  </si>
  <si>
    <t>TJ/t</t>
  </si>
  <si>
    <t>GJ/t</t>
  </si>
  <si>
    <t>Bioetanooli potentsiaal</t>
  </si>
  <si>
    <t>antud aastal</t>
  </si>
  <si>
    <t>Bioetanooli tarbimine Eestis</t>
  </si>
  <si>
    <t>Bioetanooli osakaal kütuste tarbimisest Eestis</t>
  </si>
  <si>
    <t>Bioetanool import</t>
  </si>
  <si>
    <t>Bioetanool eksporti</t>
  </si>
  <si>
    <t>Bioetanooli ekspordi osakaal % (TJ)</t>
  </si>
  <si>
    <t>€/kg</t>
  </si>
  <si>
    <t>Bioetanooli müügihind</t>
  </si>
  <si>
    <t>müügitulu bioetanooli ekspordist</t>
  </si>
  <si>
    <t>tulu bioetanooli müügist kodumaises tarbimises</t>
  </si>
  <si>
    <t>tulu  bioetanooli müügist, kodumaine tarbimine ja eksport kokku</t>
  </si>
  <si>
    <t>Avalikud hüved aastas 1 tonni bioetanooli kohta</t>
  </si>
  <si>
    <t>€/t</t>
  </si>
  <si>
    <t>Bioetanooli tootmise energia omatarbe osakaal bioetanooli primaarenergiast</t>
  </si>
  <si>
    <t>Primaarenergia tarbimine bioetanooli tootmiseks (aastas)</t>
  </si>
  <si>
    <t>€/t EtOH</t>
  </si>
  <si>
    <t>Bioetanooli muutuv ja püsikulud - M€ aastas kokku</t>
  </si>
  <si>
    <t>Muutuvkulud</t>
  </si>
  <si>
    <t>püsikulud</t>
  </si>
  <si>
    <t>Käive bioetanooli müügist</t>
  </si>
  <si>
    <t>CAPEX 100 000 t/a EtOH  s</t>
  </si>
  <si>
    <t>Koguinvesteering</t>
  </si>
  <si>
    <t>põllumaa vajadus</t>
  </si>
  <si>
    <t>1,34 tonni praaka saab 1 tonni bioetanooli tootmisel</t>
  </si>
  <si>
    <t>praaga kogus aastas</t>
  </si>
  <si>
    <t>Kaasnevad tooted - praaga müük hinnaga 0,15 €/l</t>
  </si>
  <si>
    <t>praaga hind</t>
  </si>
  <si>
    <t>€/l</t>
  </si>
  <si>
    <t>Bioetanooli WTT (Well-to Tank ehk Viljelus, töötlemine, transport ja jaotamine kokku) CO2 ekv heide keskmistatud vaikeväärtusega</t>
  </si>
  <si>
    <t>Bioetanooli vähesekkuv stsena, minimaalne kohapealsete kütuste kasutamine, pool potentsiaalist</t>
  </si>
  <si>
    <t>Bioetanooli mittesekkuv stsena, 100% bioetanooli import</t>
  </si>
  <si>
    <t>Transport, Teadmispõhine EE</t>
  </si>
  <si>
    <t>NB! Väärtused aastas (mitte perioodi lõikes kokku), rahalised näitajad läbivalt kas nominaal- (eelistatud) või reaalväärtustes</t>
  </si>
  <si>
    <t>Info stsenaariumite kohta Excel-is puudub</t>
  </si>
  <si>
    <t>Transpordi energiatarbimine</t>
  </si>
  <si>
    <t>Elekter</t>
  </si>
  <si>
    <t>Bensiin</t>
  </si>
  <si>
    <t>Diisel</t>
  </si>
  <si>
    <t>Maagaas</t>
  </si>
  <si>
    <t>Etanool</t>
  </si>
  <si>
    <t>Biodiisel</t>
  </si>
  <si>
    <t>Kokku</t>
  </si>
  <si>
    <t>Transport BAU</t>
  </si>
  <si>
    <t>227.9943711</t>
  </si>
  <si>
    <t>Vähesekkuv -transpordi arengukava</t>
  </si>
  <si>
    <t>Transpordi energiatarbisega seotud kulud ja maksud</t>
  </si>
  <si>
    <t>EUR</t>
  </si>
  <si>
    <t>TRanspordi kütute BAU tarbimine</t>
  </si>
  <si>
    <t>Biometaani tootmiseks kuluva primaarenergia arvutus</t>
  </si>
  <si>
    <t>Pilootjaama energiatarve tehnoloogiapakkujatelt, seisuga suvi 2013</t>
  </si>
  <si>
    <t>tootmise elektritarve kWh</t>
  </si>
  <si>
    <t>kulu elektrile €/a</t>
  </si>
  <si>
    <t>soojatarve kWh/a</t>
  </si>
  <si>
    <t>kulu soojale €/a</t>
  </si>
  <si>
    <t>puhastuse elektritarve kWh/a</t>
  </si>
  <si>
    <t>elektri kulu €/a puhastusele</t>
  </si>
  <si>
    <t>muud kulud puhastusele €</t>
  </si>
  <si>
    <t>keskmine</t>
  </si>
  <si>
    <t>pilootjaama biometaani toodangu puhul NM3 aastas</t>
  </si>
  <si>
    <t>1 Nm3 10 kWh primaarenergiat</t>
  </si>
  <si>
    <t>pilootjaama toodetud biometaani primaarenergia sisaldus kWh</t>
  </si>
  <si>
    <t>omatarve osakaal %</t>
  </si>
  <si>
    <t>soojustarbe osakaal</t>
  </si>
  <si>
    <t>elektritarbe osakaal kokku</t>
  </si>
  <si>
    <t>biometaani tootmiseks kuluv primaarenergia, arvestatuna 20% suurem soojuse ja elektri tarbimisest kokku</t>
  </si>
  <si>
    <t>Allikas: Biometaani avalike hüvede uuring lk 20 tabel 3</t>
  </si>
  <si>
    <t>INVESTEERING</t>
  </si>
  <si>
    <t>Hind 2012</t>
  </si>
  <si>
    <t>seadmed</t>
  </si>
  <si>
    <t>ehitustööd</t>
  </si>
  <si>
    <t>tanklad</t>
  </si>
  <si>
    <t>sõidukite ümberehitus</t>
  </si>
  <si>
    <t>Silohoidla ja kääritusjäägi hoidla</t>
  </si>
  <si>
    <t>Tootmiskompleks</t>
  </si>
  <si>
    <t>Gaasipuhasti (97%)</t>
  </si>
  <si>
    <t>Projektdokumentatsioon ja koolitus</t>
  </si>
  <si>
    <t>Gaasitrassi rajamine*</t>
  </si>
  <si>
    <t>Nm3</t>
  </si>
  <si>
    <t>Investeeringud kokku</t>
  </si>
  <si>
    <t>Investeeringu toetus</t>
  </si>
  <si>
    <t>Reaalne investeeringu vajadus</t>
  </si>
  <si>
    <t>1 mln Nm3 kohta investeering</t>
  </si>
  <si>
    <t>370 mln NM3 koguinvesteering seadmetesse</t>
  </si>
  <si>
    <t>üldehitustööd</t>
  </si>
  <si>
    <t>CAPEX üldehitustööd 1 mln Nm3 kohta</t>
  </si>
  <si>
    <t>370 mln CAPEX üldehitustööd</t>
  </si>
  <si>
    <t>1 tankla CAPEX võimsusega 1mln NM3 /a</t>
  </si>
  <si>
    <t>kokku</t>
  </si>
  <si>
    <t>sõiduauto</t>
  </si>
  <si>
    <t>arv on sõltuvuses tarbimisest</t>
  </si>
  <si>
    <t>diiselveoauto või buss</t>
  </si>
  <si>
    <t>sõidukite ümberehituskulu</t>
  </si>
  <si>
    <t>1 mln Nm3 biometaani tarbimiseks sõidukites ümberehituskulu</t>
  </si>
  <si>
    <t>Bensiinis›idukid tŠismassiga alla 3.5 t</t>
  </si>
  <si>
    <t>Veoautod (diisel)</t>
  </si>
  <si>
    <t>Bussid (diisel)</t>
  </si>
  <si>
    <t>TŠnane biometaani arvutuslik kogus taandatuna biogaasi tootmisest (13 mln Nm3) /maagaasis›idukite arv</t>
  </si>
  <si>
    <t>Biometaani tarbitav kogus aastas Nm3</t>
  </si>
  <si>
    <t>Biometaani tarbitav kogus aastas ktoe</t>
  </si>
  <si>
    <t>S›idukite arv</t>
  </si>
  <si>
    <t>Näiteks 10% BM kasutamisel on sõidukite arv 12 000</t>
  </si>
  <si>
    <t>S›idukite osakaal koguarvust</t>
  </si>
  <si>
    <t>Nm 3 Biometaani aastas</t>
  </si>
  <si>
    <t>selle tootmiseks kuluv maa</t>
  </si>
  <si>
    <t>CH4 1 tonn Väskest massist</t>
  </si>
  <si>
    <t>1 ha saadav CH4 kogus Nm3</t>
  </si>
  <si>
    <t>Eeldused</t>
  </si>
  <si>
    <t>Ühtset pindala toetust kasutas 2011</t>
  </si>
  <si>
    <t>pool looduslikel</t>
  </si>
  <si>
    <t>Kasutamata põllumaa</t>
  </si>
  <si>
    <t>Sellest biogaasi tootmiseks aastal 2020 on 20%</t>
  </si>
  <si>
    <t>Sellest biogaasi tootmiseks aastal 2050 on 50%</t>
  </si>
  <si>
    <t>Rohumaid kokku ilma 100 000 ha poollooduslike kooslusteta on</t>
  </si>
  <si>
    <t>sellest 192 000 ha on saanud ÜPT kuid ei oma loomi</t>
  </si>
  <si>
    <t>Biomass põllumaadelt</t>
  </si>
  <si>
    <t>Põllumaad ilma rohumaadeta on</t>
  </si>
  <si>
    <t>5% on MAK järgi soovitatav kasutada energiakultuuride kasvatamiseks</t>
  </si>
  <si>
    <t>Ajas see ei muutu</t>
  </si>
  <si>
    <t>kasutatakse biogaasi tootmiseks</t>
  </si>
  <si>
    <t>Aasta</t>
  </si>
  <si>
    <t>ha, t,</t>
  </si>
  <si>
    <t>Toodang, t/ha</t>
  </si>
  <si>
    <t>tonni/a</t>
  </si>
  <si>
    <t>Biogaasi Nm3/t VM</t>
  </si>
  <si>
    <t>teoreetiline biogaasi Nm3</t>
  </si>
  <si>
    <t>90% on reaalselt</t>
  </si>
  <si>
    <t>reaalne %, mis on kiirelt kasutatav</t>
  </si>
  <si>
    <t>BG (60% CH4)</t>
  </si>
  <si>
    <t>GWh el aastas (8200 töötunniga)</t>
  </si>
  <si>
    <t>Mw Nel</t>
  </si>
  <si>
    <t>Pool-looduslikud looduskaitse eesmärkidel niidetavad alad (poldrid, lamminiidud, jt)</t>
  </si>
  <si>
    <t>kasutamata põllumaad</t>
  </si>
  <si>
    <t>rohumaade mahaniidetud kasutamata hein</t>
  </si>
  <si>
    <t>Kasutuses põllumaa</t>
  </si>
  <si>
    <t>kasutamata maade pindala, ha</t>
  </si>
  <si>
    <t>https://docs.google.com/spreadsheet/ccc?key=0ApEhZuzxKPKgdE5QSFpXaUNnclhIX3FkTjBoaXBGaGc#gid=8</t>
  </si>
  <si>
    <t>CO2 heitmed biogaasi tootmisel, elukaare analüüsi meetodil</t>
  </si>
  <si>
    <t>http://www.balticbiogasbus.eu/web/Upload/doc/Espoo_15_May_2012/Life%20cycle%20cost%20analysis%20of%20biogas%20buses_Tuula%20Kajolinna.pdf</t>
  </si>
  <si>
    <t>eeldused</t>
  </si>
  <si>
    <t>rohusilol on CO2 ekv km kohta  RES järgi</t>
  </si>
  <si>
    <t>LCA järgi</t>
  </si>
  <si>
    <t>sõnnnikul</t>
  </si>
  <si>
    <t>RES järgi</t>
  </si>
  <si>
    <t>RES+LCA (elik LCA vähendatdu RES võrra)</t>
  </si>
  <si>
    <t>aritmeetiline keskmine</t>
  </si>
  <si>
    <t>olme ja toidujäätmed</t>
  </si>
  <si>
    <t>RES</t>
  </si>
  <si>
    <t>LCA</t>
  </si>
  <si>
    <t>kõigi kuue artimeetiline keskmine</t>
  </si>
  <si>
    <t>sõnniku puhul vähendatud keskmine</t>
  </si>
  <si>
    <t>Vehicles add another potential application of gas that can be useful in some circumstances, but</t>
  </si>
  <si>
    <t>biogas, bio‐SNG and biomethane can be injected into the grid and need not necessarily end up</t>
  </si>
  <si>
    <t>being used in vehicles. The CO2 saving from a 100 m3/h biogas plant is dependent on the</t>
  </si>
  <si>
    <t>utilisation of residual heat (based on the situation in the United Kingdom) (Table 11). If biogas is</t>
  </si>
  <si>
    <t>produced in a remote location where there is no baseload demand for the residual heat and a</t>
  </si>
  <si>
    <t>gas grid is nearby it is preferable to inject the biogas into the grid. In principle, using this gas for</t>
  </si>
  <si>
    <t>the production of electricity yields a higher saving than the end use in transportation does as</t>
  </si>
  <si>
    <t>the maximum (indeed even the average) efficiency of a gas‐fired power plant is much higher</t>
  </si>
  <si>
    <t>than that of an internal combustion engine (although the CO2 savings obviously depend on the</t>
  </si>
  <si>
    <t>existing power mix). But as mentioned before, under many circumstances there are more</t>
  </si>
  <si>
    <t>alternatives for decarbonising power production that there are for decarbonising transport</t>
  </si>
  <si>
    <t>(particularly HDVs).</t>
  </si>
  <si>
    <t>Table 11: CO2 savings from different uses of 100 m3/h biogas production</t>
  </si>
  <si>
    <t>Allikas:</t>
  </si>
  <si>
    <t>http://www.iea.org/publications/freepublications/publication/natural_gas_vehicles.pdf</t>
  </si>
  <si>
    <t>Option CO2 savings (t/y)</t>
  </si>
  <si>
    <t>On site electrification (no use of waste heat) 754</t>
  </si>
  <si>
    <t>On site electricity and use of waste heat 1 723</t>
  </si>
  <si>
    <t>Grid injection, end use in transport  CO2 vähenemine 1 305 tonni aastas</t>
  </si>
  <si>
    <t>Grid injection, end use in heat generation 1 026</t>
  </si>
  <si>
    <t>Grid injection, end use in power production 1 567</t>
  </si>
  <si>
    <t>eeldus</t>
  </si>
  <si>
    <t>m3 tunnis biogaasi toodang</t>
  </si>
  <si>
    <t>CO2 vähenemine</t>
  </si>
  <si>
    <t>töötunde aastas</t>
  </si>
  <si>
    <t>tehnoloogiapakkujatelt</t>
  </si>
  <si>
    <t>biogaasi toodang aastas</t>
  </si>
  <si>
    <t>metaani sisaldus</t>
  </si>
  <si>
    <t>biometaani aastas</t>
  </si>
  <si>
    <t>1mln Nm3 biometaani tootmisel hoitakse ära CO2 tonni aastas</t>
  </si>
  <si>
    <t>Kaasneva toodangu müügist saadav tulu</t>
  </si>
  <si>
    <t>1 mln Nm3 biometaani kääritusjäägi müümisel saadav tulu</t>
  </si>
  <si>
    <t>€/a</t>
  </si>
  <si>
    <t>sõnniku ja läga puhul juurde ei teki, seega liasmüügitulu ei ole</t>
  </si>
  <si>
    <t>rohelise biomassi kääritusjääk</t>
  </si>
  <si>
    <t>tulemus</t>
  </si>
  <si>
    <t>Nm3 biometaani aastas</t>
  </si>
  <si>
    <t>Substraat</t>
  </si>
  <si>
    <t>produktiivsus, tonnides</t>
  </si>
  <si>
    <t>Biometaani potentsiaal (CH4 98%)</t>
  </si>
  <si>
    <t>Rohtse biomassi kääritusjäägi kogus aastas (10% KA sisaldusega)</t>
  </si>
  <si>
    <t>mln t/a</t>
  </si>
  <si>
    <t>silo kasutamata maadelt</t>
  </si>
  <si>
    <t>Kääritusjäägis alles oleva kuivaine osakaal võrreldes värske massiga</t>
  </si>
  <si>
    <t>silo 5% põllumajandusmaalt</t>
  </si>
  <si>
    <t>Rohtse biomassi 10% KA sisaldusega kääritusjääk kokku</t>
  </si>
  <si>
    <t>silo/hein pool-looduslikelt aladelt</t>
  </si>
  <si>
    <t>Sõnniku/kääritusjäägi laotusnorm</t>
  </si>
  <si>
    <t>veiseläga</t>
  </si>
  <si>
    <t>Rohtse biomassi kääritusjäägiga väetatava maa pindala</t>
  </si>
  <si>
    <t>sealäga</t>
  </si>
  <si>
    <t>NPK väetiste kasutuskogus (N135)</t>
  </si>
  <si>
    <t>kg/ha</t>
  </si>
  <si>
    <t>põllumajanduslikud muud jäägid</t>
  </si>
  <si>
    <t>Kääritusjäägiga väetatav kogus mineraalväetiste asemel</t>
  </si>
  <si>
    <t>ha kokku</t>
  </si>
  <si>
    <t>10% t/a</t>
  </si>
  <si>
    <t>30% t/a</t>
  </si>
  <si>
    <t>Keskmine NPK väetise hind</t>
  </si>
  <si>
    <t>Tulu aastas mineraalväetiste asemel rohtse biomassi kääritusjäägi müümisel</t>
  </si>
  <si>
    <t>EK taastuvenergia direktiiv 2009/28</t>
  </si>
  <si>
    <t>V LISA</t>
  </si>
  <si>
    <t>Biokütustest ja vedelatest biokütustest ning nendega võrreldavatest fossiilkütustest tulenevate kasvuhoonegaaside mõju arvutamise valemid</t>
  </si>
  <si>
    <t>tüüpiline väärtus(gCO2eq/MJ)</t>
  </si>
  <si>
    <t>vaikeväärtus (gCO2eq/MJ)</t>
  </si>
  <si>
    <t>Lisa V, p. 19</t>
  </si>
  <si>
    <t>Biokütuste puhul on punktis 4 osutatud arvutuse tegemisel võrreldav fossiilkütus EF kõige hilisem teadaolev tegelik keskmine heitkogus, mis tuleneb ühenduses tarbitud fossiilsest bensiinist ja diislist, ning millest on teada antud vastavalt direktiivile 98/70/EÜ. Kui sellised andmed ei ole kättesaadavad, kasutatakse väärtust 83,8 gCO2eq/MJ.</t>
  </si>
  <si>
    <t>Orgaanilistest olmejäätmetest toodetud biogaas, mida kasutatakse kui surumaagaasi</t>
  </si>
  <si>
    <t>Märjast sõnnikust toodetud biogaas, mida kasutatakse kui surumaagaasi</t>
  </si>
  <si>
    <t>biometaani vaikeväärtus gCO3 ekv /MJ keskmistatud</t>
  </si>
  <si>
    <t>Kuivast sõnnikust toodetud biogaas, mida kasutatakse kui surumaagaasi</t>
  </si>
  <si>
    <t>Bioressursid - potentsiaal energiasisaldus: Kuna me tahame mõõta kogu (st erinevat liiki) bioressursi kasutuse intensiivsust/ efektiivsust (suhtena SKP-sse) siis saab mõõtühikuks olla ilmselt ainult (primaar)energiaühik, tabelis oleme küsinud PJ-des, mitte tonnides. Transpordi energiatarbimise arvestuses on Mari juba biokütuste (bioetanool ja biogaas) primaarenergia kogused välja toonud, ehk piisabki nendest numbritest. Sooja- ja elektri tootmisest lisandub puit ja kokku peaksime saama sisuliselt kogu Eesti energiamajanduses tarbitava bioressursi mahu, mille põhjal saame arvutada majanduse bioressursi kasutusintensiivsuse. Mida Madis, Peep ja Lembit sellest arvavad?</t>
  </si>
  <si>
    <t>Kaasnevad avalikud hüved –müük: meie tabelis oli ilmselt eksitav õigekirja viga aga mõeldud on jah biokütuste tootmisest tekkivate muude produktide (kääritusjäägi ja praaga) müügist saadavat müügitulu, mitte avalikke tulusid (st ühiskonnale nö tasuta kättesaadavaid hüvesid nagu näiteks puhtam keskkond).</t>
  </si>
  <si>
    <t>CO2 emissioon tootmisega seoses: jääme siis nende nn kaudsete CO2 emissioonide juurde, juhul kui need on usaldusväärselt arvutatavad, ootame siis veel neid numbreid Sinult.</t>
  </si>
  <si>
    <t>Arvutusi Eesti kohta (ESTONIAN BIOETHANOL. Feasibility Study. 4 March 2011. SWECO).</t>
  </si>
  <si>
    <t>Planeeritav I põlvkonna bioetanooli tehas toodanguga 100 000 tonni (123 460 m3) aastas. Toormena kasutatakse rukist (60 %), nisu ja tritikalet kumbagi (20 %). Eeldatakse, et 60 % toormest hangitakse Eestist ja 40 % imporditakse.</t>
  </si>
  <si>
    <t>Toodang: 99,70 % alkohol, &lt; 0,3 % vesi;</t>
  </si>
  <si>
    <t>Tootmisvõimsus: 100 000 t/a, 12,5 t/h;</t>
  </si>
  <si>
    <t>Käitamise aeg: 8 000 h/a;</t>
  </si>
  <si>
    <t>Asukoht Eesti Elektrijaam, Auveres;</t>
  </si>
  <si>
    <t>Arvutuslik KHG heite vältimine on 52,2 % kuni 65,8 %, sõltuvalt, milliseid andmeid kasutatakse. KHG vältimises on arvestatud Eesti eesmärkidega, heite vähenemine vähemalt 35% (2017 50%, 2018 60%).</t>
  </si>
  <si>
    <t>•</t>
  </si>
  <si>
    <t>Tehase investeeringu kulu kokku 83 000 000 € (hälve +/- 15%);</t>
  </si>
  <si>
    <t>CAPEX bioetanool</t>
  </si>
  <si>
    <t>Muutuvkulud aastas kokku - 67 717 150 €/a 677,2 €/t EtOH;</t>
  </si>
  <si>
    <t>bioetanooli aastas tonnides</t>
  </si>
  <si>
    <t>Püsikulud kokku - 111 000 €/a 1,1 €/t EtOH;</t>
  </si>
  <si>
    <t>CAPEV 1 tonni bioetanooli tootmiseks</t>
  </si>
  <si>
    <t>Müügitulu - 85 500 400 €/a;</t>
  </si>
  <si>
    <t>Tasuvus – 6,83 aastat;</t>
  </si>
  <si>
    <t>NPV – 8 794 188;</t>
  </si>
  <si>
    <t>Kasumi indeks 1,116;</t>
  </si>
  <si>
    <t>IRR – 12,7%.</t>
  </si>
  <si>
    <t>Tasuvus on väga tundlik bioetanooli ja toorme hinna suhtes, kuid mitte nii tundlik investeeringu maksumuse suhtes. Tehase võimsus 100 000 t/a on Baltimaade turule isegi suur, osa toodangust tuleks eksportida Euroopa turule, peamiselt Skandinaavia maadesse. Eesti bensiini tarbimine on olnud umbes 400 000 t/a, kuid Soomes näiteks 2 500 000 t/a. EL riikide bioetanooli tarbimine kasvab eeldatavalt tugevalt ja oleks umbes 20 mln m3 aastaks 2020.</t>
  </si>
  <si>
    <t>Bioetanooli tootmishind on püsiv. Sellest moodustab 27,4 % kapitali hind; 20,3 % tööjõud, juhtimine ja hooldus; 21,6 % ensüümid ja kemikaalid; 5,5 % elekter; 25,2 % kasutatav veeaur.</t>
  </si>
  <si>
    <t>Kultuur</t>
  </si>
  <si>
    <t>Tritik</t>
  </si>
  <si>
    <t>Talinisu</t>
  </si>
  <si>
    <t>Talirukis</t>
  </si>
  <si>
    <t>m3/a</t>
  </si>
  <si>
    <t>Hektarisaak, t/ha</t>
  </si>
  <si>
    <t>4.3-9.1</t>
  </si>
  <si>
    <t>2.9-7.6</t>
  </si>
  <si>
    <t>5.4-7.6</t>
  </si>
  <si>
    <t>l/a</t>
  </si>
  <si>
    <t>Tootmiskulud, DEM/ha</t>
  </si>
  <si>
    <t>851-1403</t>
  </si>
  <si>
    <t>887-1514</t>
  </si>
  <si>
    <t>1069-1312</t>
  </si>
  <si>
    <t>töötundi aastas</t>
  </si>
  <si>
    <t>Bioetanooli saagis, l/ha</t>
  </si>
  <si>
    <t>1968-4203</t>
  </si>
  <si>
    <t>1279-3453</t>
  </si>
  <si>
    <t>2275-3435</t>
  </si>
  <si>
    <t>t/h</t>
  </si>
  <si>
    <t>Bioetanooli hinna tooraine osa, DEM/l</t>
  </si>
  <si>
    <t>0.31-0.54</t>
  </si>
  <si>
    <t>0.38-0.85</t>
  </si>
  <si>
    <t>0.35-0.60</t>
  </si>
  <si>
    <t>l/h</t>
  </si>
  <si>
    <t>Bioetanooli tootmishind, DEM/l</t>
  </si>
  <si>
    <t>0.40</t>
  </si>
  <si>
    <t>0.40-0.42</t>
  </si>
  <si>
    <t>0.43</t>
  </si>
  <si>
    <t>Bioetanooli hind, DEM/l</t>
  </si>
  <si>
    <t>0,71-0,94</t>
  </si>
  <si>
    <t>0,78-1,27</t>
  </si>
  <si>
    <t>0,78-1,03</t>
  </si>
  <si>
    <t>l/päevas</t>
  </si>
  <si>
    <t>liitrit bioetanooli saab</t>
  </si>
  <si>
    <t>kgst nisust</t>
  </si>
  <si>
    <t>l/kg</t>
  </si>
  <si>
    <t>tonni aastas kulub nisu</t>
  </si>
  <si>
    <t>nisu saagikus tonni ha</t>
  </si>
  <si>
    <t>ha</t>
  </si>
  <si>
    <t>tonni bioetanooli ha kohta</t>
  </si>
  <si>
    <t>Parameeter</t>
  </si>
  <si>
    <t>Bioetanool nisust</t>
  </si>
  <si>
    <t>Suhkrupeedist</t>
  </si>
  <si>
    <t>€/GJ praaga</t>
  </si>
  <si>
    <t>EUR/l</t>
  </si>
  <si>
    <t>EUR/GJ</t>
  </si>
  <si>
    <t>Biomass</t>
  </si>
  <si>
    <t>0.26</t>
  </si>
  <si>
    <t>Kaasprodukti (koogi) hind</t>
  </si>
  <si>
    <t>0.15</t>
  </si>
  <si>
    <t>0.03</t>
  </si>
  <si>
    <t>Kokku tooraine</t>
  </si>
  <si>
    <t>0.25</t>
  </si>
  <si>
    <t>0.23</t>
  </si>
  <si>
    <t>Bioetanooli tootmine</t>
  </si>
  <si>
    <t>0.28</t>
  </si>
  <si>
    <t>0.22</t>
  </si>
  <si>
    <t>Segamine bensiiniga</t>
  </si>
  <si>
    <t>0.05</t>
  </si>
  <si>
    <t>Veokulud</t>
  </si>
  <si>
    <t>0.01</t>
  </si>
  <si>
    <t>0.5</t>
  </si>
  <si>
    <t>Hind tanklas</t>
  </si>
  <si>
    <t>V i l j e l u s , t ö ö t l e m i n e , t r a n s p o r t j a j a o t a m i n e k o k k u</t>
  </si>
  <si>
    <t>Biokütuse ja vedela biokütuse tootmisviis</t>
  </si>
  <si>
    <t>Kasvuhoonegaaside</t>
  </si>
  <si>
    <t>heitkoguste tüüpilised</t>
  </si>
  <si>
    <t>väärtused</t>
  </si>
  <si>
    <t>(gCO2eq/MJ)</t>
  </si>
  <si>
    <t>heitkoguste vaikeväärtused</t>
  </si>
  <si>
    <t>Suhkrupeedist toodetud etanool 33 40</t>
  </si>
  <si>
    <t>Nisust toodetud etanool (tootmisprotsessis kasutatav kütus</t>
  </si>
  <si>
    <t>täpsustamata)</t>
  </si>
  <si>
    <t>57 70</t>
  </si>
  <si>
    <t>Nisust toodetud etanool (tootmisel soojuse ja elektri koostoot­</t>
  </si>
  <si>
    <t>mise käitises kasutatakse kütusena ligniiti)</t>
  </si>
  <si>
    <t>Nisust toodetud etanool (tootmisel tavalises põletuskatlas ka­</t>
  </si>
  <si>
    <t>sutatakse kütusena maagaasi)</t>
  </si>
  <si>
    <t>46 55</t>
  </si>
  <si>
    <t>mise käitises kasutatakse kütusena maagaasi)</t>
  </si>
  <si>
    <t>39 44</t>
  </si>
  <si>
    <t>mise käitises kasutatakse kütusena põhku)</t>
  </si>
  <si>
    <t>26 26</t>
  </si>
  <si>
    <t>Ühenduses maisist toodetud etanool (tootmisel soojuse ja</t>
  </si>
  <si>
    <t>elektri koostootmise käitises kasutatakse kütusena maagaasi)</t>
  </si>
  <si>
    <t>37 43</t>
  </si>
  <si>
    <t>Suhkruroost toodetud etanool 24 24</t>
  </si>
  <si>
    <t>STANDARDID</t>
  </si>
  <si>
    <t>Rootsi</t>
  </si>
  <si>
    <t>http://www.greengasgrids.eu/market-platform/sweden/technical-standards.html</t>
  </si>
  <si>
    <t>Requirements for gas quality</t>
  </si>
  <si>
    <t>Natural gas grid quality specification of Swedegas: beta.swedegas.se/sitecore/shell/Controls/Rich%20Text%20Editor/~/media/Files/overforing/bilaga-5-kvalitetsspecifikationer-rev-12.ashx 
Wobbe index (gcv) 49,0-56,9 MJ/Nm3
Gross calorific Value 36,5-47,6 MJ/Nm3
Relative Density 0,555-0,70
Temperature 50 °C
Hydrocarbon dewpoint -2 °C 70 bar
Water dewpoint -8 °C 70 bar
Total S (excl H2S and odorization) 10mg S/Nm3
Odorization (yearly average/peak) 6/16mg S/Nm3
H2S 5mg S/Nm3
O2      0,1mol%
CO2     2,5mol%
No hydrate formation at -8 °C up to 70 bar
Technically free of dust
The Swedish standard for biomethane as automotive fuel has been used ad-hoc for the biomethane injection schemes. SS 15 54 38 (1999) “Motor fuels – Biogas as fuel for high-speed otto engines”.</t>
  </si>
  <si>
    <t>Grid access restrictions</t>
  </si>
  <si>
    <t>No restrictions as long as the Swedegas gas quality specification is upheld. Landfill gas has technically been restricted, by way of the nitrogen limit in SS 155438 (O2+N2+CO2&lt;5). With the current introduction of cryogenic upgrading, this is no longer the case. Thus, the current revision of the Swedish standard is taking this into account, introducing limits for siloxanes.</t>
  </si>
  <si>
    <t>Barriers</t>
  </si>
  <si>
    <t>The strongest barrier in Sweden is economic. This is the explanation why electricity production from biogas is so low in Sweden; the economic incentive is tenfold lower than in Germany. Most of the biogas projects rely on the economics of selling upgraded biomethane as automotive fuel, and the only real incentive is the tax exemption. Business cases involving energy crops and the new technology of thermal gasification are on their economic limit, so the lack of long-term policies, both regarding keeping existing policies and introducing new ones, is quite a barrier for these projects.ommitment. Lack of a strong fiscal incentive when compared to electricity production</t>
  </si>
  <si>
    <t>MAAGAAS</t>
  </si>
  <si>
    <t>EESTI</t>
  </si>
  <si>
    <t>http://www.gaas.ee/wp-content/uploads/2012/12/Maagaas_Toote_Kirjeldus_2012.pdf</t>
  </si>
  <si>
    <t>Primaarenergia tarbimine</t>
  </si>
  <si>
    <t>PJ/TWh</t>
  </si>
  <si>
    <t>Biokütuste tootmise ja jaotamise otsekulud</t>
  </si>
  <si>
    <t>Otsekulud (tootmine)</t>
  </si>
  <si>
    <t>Toorme ostukulu</t>
  </si>
  <si>
    <t>Töötlemise kulu</t>
  </si>
  <si>
    <t>Käive biokütuste tootmisest/müügist</t>
  </si>
  <si>
    <t>Biokütuste eksport</t>
  </si>
  <si>
    <t>Riiklikud toetused</t>
  </si>
  <si>
    <t>Maakasutus (lisanduv)</t>
  </si>
  <si>
    <t>Bioressursid</t>
  </si>
  <si>
    <t>Kaasnev müük</t>
  </si>
  <si>
    <t>CO2 emissioon (tootmine)</t>
  </si>
  <si>
    <t>Vastab Transpordi numbritele</t>
  </si>
  <si>
    <t>Kommentaarid_OG</t>
  </si>
  <si>
    <t>Hinnad</t>
  </si>
  <si>
    <t>Eksport</t>
  </si>
  <si>
    <t>Transport EE</t>
  </si>
  <si>
    <t>Toetus</t>
  </si>
  <si>
    <t>Müügitulud</t>
  </si>
  <si>
    <t>Toetused</t>
  </si>
  <si>
    <t>Kumba ekspordi numbrit kasutada?</t>
  </si>
  <si>
    <t>Tootmine</t>
  </si>
  <si>
    <t>Primaarenergia tarbimine (tootmises)</t>
  </si>
  <si>
    <t>Biokütuste tootmise ja jaotamise kulud</t>
  </si>
  <si>
    <t>Käive biokütuste tootmisest/müügist  (sh eksport)</t>
  </si>
  <si>
    <t>Primaarenergia</t>
  </si>
  <si>
    <t>Transpordi tabelites toodud</t>
  </si>
  <si>
    <t>vt transpordi stsenaariumeid</t>
  </si>
  <si>
    <t>pole esitatud</t>
  </si>
  <si>
    <t>seda pole toetuse arvutamisel arvesse võetud</t>
  </si>
  <si>
    <t>negatiivne tähendab importi?</t>
  </si>
  <si>
    <t>miks ei ole null?</t>
  </si>
  <si>
    <t>Müük</t>
  </si>
  <si>
    <t>Püsikulud</t>
  </si>
  <si>
    <t>kululiigid?</t>
  </si>
  <si>
    <t>investeeringu liik?</t>
  </si>
  <si>
    <t>Bioetanooli muutuv ja püsikulud - kokku</t>
  </si>
  <si>
    <t>sh tanklad? investeeringu liik?</t>
  </si>
  <si>
    <t>kulud elektrile, soojale, hooldus varuosad, tööjõud</t>
  </si>
  <si>
    <t>sama mis otsekulu</t>
  </si>
  <si>
    <t>Osakaal</t>
  </si>
  <si>
    <t>Transpordikulud</t>
  </si>
  <si>
    <t>kas mööda maagaasitoru või surugaasiballoonides off-grid tarbijateni, kulu on siis kas maagaasitoruga liitumise kulu või suruballoonidesse kompremeerime ja vedu</t>
  </si>
  <si>
    <t>Kaasprodukti (koogi) hind (TULU)</t>
  </si>
  <si>
    <t>Tootja kasum</t>
  </si>
  <si>
    <t>praaga müük hinnaga 0,15 €/l</t>
  </si>
  <si>
    <t>KOKKU (va kaasprodukt)</t>
  </si>
  <si>
    <t>Tootmiskulud</t>
  </si>
  <si>
    <t>lisandub kuludele</t>
  </si>
  <si>
    <t>Tootmisinvesteeringud</t>
  </si>
  <si>
    <t>TÄPSUSTA</t>
  </si>
  <si>
    <t>võtsin hinnakasvu välja</t>
  </si>
  <si>
    <t>ei ole lisanduv!</t>
  </si>
  <si>
    <t>lisandväärtus?!</t>
  </si>
  <si>
    <t>Maksimaalne: biometaan + bioetanool</t>
  </si>
  <si>
    <t>Vähesekkuv: biometaan + bioetanool</t>
  </si>
  <si>
    <t>Mittesekkuv: biometaan + bioetanool</t>
  </si>
  <si>
    <t>miinus=import</t>
  </si>
  <si>
    <t>Vahe: Maksimaalne - Mittesekkuv</t>
  </si>
  <si>
    <t>Vahe: Vähesekkuv - Mittesekkuv</t>
  </si>
  <si>
    <t>Põllumajandustooted</t>
  </si>
  <si>
    <t>Metsandustooted</t>
  </si>
  <si>
    <t>Kalandustooted</t>
  </si>
  <si>
    <t>Kivisüsi ja pruunsüsi; toornafta ja maagaas; metallimaagid; muud kaevandussaadused</t>
  </si>
  <si>
    <t>Toiduained; joogid; tubakatooted</t>
  </si>
  <si>
    <t>Tekstiilitooted; rõivad; nahk ja nahatooted</t>
  </si>
  <si>
    <t>Puit ning puit- ja korktooted, v.a mööbel; õlgedest ja punumismaterjalidest tooted</t>
  </si>
  <si>
    <t>Paber ja pabertooted</t>
  </si>
  <si>
    <t>Trüki- ja salvestusteenused</t>
  </si>
  <si>
    <t>Koks ja puhastatud naftatooted</t>
  </si>
  <si>
    <t>Kemikaalid ja keemiatooted</t>
  </si>
  <si>
    <t>Põhifarmaatsiatooted ja ravimpreparaadid</t>
  </si>
  <si>
    <t>Kummi- ja plasttooted</t>
  </si>
  <si>
    <t>Muud mittemetalsetest mineraalidest tooted</t>
  </si>
  <si>
    <t>Metallid</t>
  </si>
  <si>
    <t>Metalltooted, v.a. masinad ja seadmed</t>
  </si>
  <si>
    <t>Arvutid, elektroonika- ja optikaseadmed</t>
  </si>
  <si>
    <t>Elektriseadmed</t>
  </si>
  <si>
    <t>Mujal klassifitseerimata masinad ja seadmed</t>
  </si>
  <si>
    <t>Mootorsõidukid, haagised ja poolhaagised</t>
  </si>
  <si>
    <t>Muud transpordivahendid</t>
  </si>
  <si>
    <t>Mööbel; muud tööstustooted</t>
  </si>
  <si>
    <t>Masinate ja seadmete remondi- ja paigaldusteenused</t>
  </si>
  <si>
    <t>351 Elektrienergia</t>
  </si>
  <si>
    <t>352 Gaas</t>
  </si>
  <si>
    <t>353 Soojavarustus</t>
  </si>
  <si>
    <t>Looduslik vesi; veepuhastus- ja varustusteenused</t>
  </si>
  <si>
    <t>Kanalisatsioon; jäätme- ja saastekäitlus</t>
  </si>
  <si>
    <t>Ehitised ja ehitustööd</t>
  </si>
  <si>
    <t>Mootorsõidukite ja mootorrataste hulgi- ja jaemüügi- ning remonditeenused</t>
  </si>
  <si>
    <t>Hulgimüügiteenused</t>
  </si>
  <si>
    <t>Jaemüügiteenused</t>
  </si>
  <si>
    <t>Maismaaveondusteenused</t>
  </si>
  <si>
    <t>Veetransporditeenused</t>
  </si>
  <si>
    <t>Õhutransporditeenused</t>
  </si>
  <si>
    <t>Ladustamisteenused ja veonduse abistavad teenused</t>
  </si>
  <si>
    <t>Posti- ja kulleriteenused</t>
  </si>
  <si>
    <t>Majutusteenused; toitlustusteenused</t>
  </si>
  <si>
    <t>Kirjastusteenused</t>
  </si>
  <si>
    <t>Filmi, video, telesaate tootmisteenus; helisalvestised, heliteoste avaldamine; ringhäälinguteenused</t>
  </si>
  <si>
    <t>Telekommunikatsiooniteenused</t>
  </si>
  <si>
    <t>Arvutiprogrammide programmeerimis-, nõustamis- ja nendega seotud teenused; teabeteenused</t>
  </si>
  <si>
    <t>Finantsteenused</t>
  </si>
  <si>
    <t>Kindlustus-, edasikindlustus- ja pensionifonditeenused</t>
  </si>
  <si>
    <t>Finants- ja kindlustusteenuste abiteenused</t>
  </si>
  <si>
    <t>Kinnisvarateenused</t>
  </si>
  <si>
    <t>Õigusabi- ja arvepidamisteenused; peakontoriteenused; juhtimisalased nõustamisteenused</t>
  </si>
  <si>
    <t>Arhitekti- ja inseneriteenused; teimimise- ja analüüsiteenused</t>
  </si>
  <si>
    <t>Teadus- ja arendusteenused</t>
  </si>
  <si>
    <t>Reklaami- ja turu-uuringute korraldamise teenused</t>
  </si>
  <si>
    <t>Muud kutse-, teadus- ja tehnikaalased teenused; veterinaariateenused</t>
  </si>
  <si>
    <t>Rendi- ja kasutusrenditeenused</t>
  </si>
  <si>
    <t>Tööhõiveteenused</t>
  </si>
  <si>
    <t>Reisibüroode, reisikorraldajate jm broneerimisteenused</t>
  </si>
  <si>
    <t>Turva- ja juurdlusteenus; hoonete ja maastike hooldusteenus; büroohaldus- ja ettevõtluse abiteenused</t>
  </si>
  <si>
    <t>Riigihalduse ja -kaitse teenused; kohustusliku sotsiaalkindlustuse teenused</t>
  </si>
  <si>
    <t>Haridusteenused</t>
  </si>
  <si>
    <t>Tervishoiuteenused</t>
  </si>
  <si>
    <t>Hoolekandeasutuste teenused; sotsiaalhoolekandeteenused ilma majutuseta</t>
  </si>
  <si>
    <t>Loome- ja meelelahutusteenus; raamatukogu, muuseumi jm asutuse teenus; hasartmängu korraldamisteenus</t>
  </si>
  <si>
    <t>Sporditeenused ja lõbustus- ning vabaajateenused</t>
  </si>
  <si>
    <t>Organisatsioonide teenused</t>
  </si>
  <si>
    <t>Arvutite ja tarbe- ning majakaupade parandusteenused</t>
  </si>
  <si>
    <t>Muud isikuteenused</t>
  </si>
  <si>
    <t>Kodumajapidamiste teenused tööandjatena; oma tarbeks toodetud kaubad ja osutatud teenused</t>
  </si>
  <si>
    <t>Mõjutab toetust!</t>
  </si>
  <si>
    <t>Transpordi tabelitest</t>
  </si>
  <si>
    <r>
      <rPr>
        <b/>
        <sz val="10"/>
        <color rgb="FF000000"/>
        <rFont val="Arial"/>
        <family val="2"/>
        <charset val="186"/>
      </rPr>
      <t>Primaarenergia</t>
    </r>
    <r>
      <rPr>
        <sz val="10"/>
        <color rgb="FF000000"/>
        <rFont val="Arial"/>
        <family val="2"/>
        <charset val="186"/>
      </rPr>
      <t xml:space="preserve"> tarbimine biometaani tootmiseks (aastas)</t>
    </r>
  </si>
  <si>
    <r>
      <t xml:space="preserve">müügitulu bioetanooli </t>
    </r>
    <r>
      <rPr>
        <b/>
        <sz val="10"/>
        <color rgb="FF000000"/>
        <rFont val="Arial"/>
        <family val="2"/>
        <charset val="186"/>
      </rPr>
      <t>ekspordist</t>
    </r>
  </si>
  <si>
    <t>kasumimarginaal</t>
  </si>
  <si>
    <r>
      <t xml:space="preserve">Biokütuste tootmise ja jaotamise </t>
    </r>
    <r>
      <rPr>
        <b/>
        <sz val="10"/>
        <color theme="1"/>
        <rFont val="Calibri"/>
        <family val="2"/>
        <charset val="186"/>
        <scheme val="minor"/>
      </rPr>
      <t>kulud</t>
    </r>
  </si>
  <si>
    <t>th tonni</t>
  </si>
  <si>
    <t>tankla investeering on siin aga liandväärtus?</t>
  </si>
  <si>
    <t>ilsatud 19.01.</t>
  </si>
  <si>
    <t>kas siin on ka tankla kulud?</t>
  </si>
  <si>
    <t>Majandusmõjude arvutusse</t>
  </si>
  <si>
    <t>Biokütuste tootmise ja jaotamise otsekulud kokku</t>
  </si>
  <si>
    <t>ilsatud 19.01. -&gt; Tulud (sh toetus) - Kulud</t>
  </si>
  <si>
    <r>
      <t>Biometaani WTT (Well-to Tank ehk Viljelus, töötlemine, transport ja jaotamine kokku)</t>
    </r>
    <r>
      <rPr>
        <b/>
        <sz val="10"/>
        <rFont val="Arial"/>
        <family val="2"/>
        <charset val="186"/>
      </rPr>
      <t xml:space="preserve"> CO2 </t>
    </r>
    <r>
      <rPr>
        <sz val="10"/>
        <rFont val="Arial"/>
        <family val="2"/>
        <charset val="186"/>
      </rPr>
      <t>ekv heide keskmistatud vaikeväärtusega</t>
    </r>
  </si>
  <si>
    <r>
      <t xml:space="preserve">Bioetanooli WTT (Well-to Tank ehk Viljelus, töötlemine, transport ja jaotamine kokku) </t>
    </r>
    <r>
      <rPr>
        <b/>
        <sz val="10"/>
        <rFont val="Arial"/>
        <family val="2"/>
        <charset val="186"/>
      </rPr>
      <t xml:space="preserve">CO2 </t>
    </r>
    <r>
      <rPr>
        <sz val="10"/>
        <rFont val="Arial"/>
        <family val="2"/>
        <charset val="186"/>
      </rPr>
      <t>ekv heide keskmistatud vaikeväärtusega</t>
    </r>
  </si>
  <si>
    <t>Kaasnev müük (praaga)</t>
  </si>
  <si>
    <t>kas on sama energiamahukas kui biometaani tootmine?</t>
  </si>
  <si>
    <r>
      <t xml:space="preserve">Bioetanooli WTT (Well-to Tank ehk Viljelus, töötlemine, transport ja jaotamine kokku) </t>
    </r>
    <r>
      <rPr>
        <b/>
        <sz val="10"/>
        <rFont val="Arial"/>
        <family val="2"/>
        <charset val="186"/>
      </rPr>
      <t>CO2</t>
    </r>
    <r>
      <rPr>
        <sz val="10"/>
        <rFont val="Arial"/>
        <family val="2"/>
        <charset val="186"/>
      </rPr>
      <t xml:space="preserve"> ekv heide keskmistatud vaikeväärtusega</t>
    </r>
  </si>
  <si>
    <t>Väliskaubandussaldo muutus ("+" st exp&gt;imp)</t>
  </si>
  <si>
    <r>
      <t xml:space="preserve">müügitulu biometaani </t>
    </r>
    <r>
      <rPr>
        <b/>
        <sz val="10"/>
        <color rgb="FF000000"/>
        <rFont val="Arial"/>
        <family val="2"/>
        <charset val="186"/>
      </rPr>
      <t>ekspordist</t>
    </r>
    <r>
      <rPr>
        <sz val="10"/>
        <color rgb="FF000000"/>
        <rFont val="Arial"/>
        <family val="2"/>
        <charset val="186"/>
      </rPr>
      <t xml:space="preserve"> Stream hinnaga</t>
    </r>
  </si>
  <si>
    <t>praaga kasutamine vähendab loomasööda importi</t>
  </si>
  <si>
    <t>Kaasnev müük (= impordi vähenemine)</t>
  </si>
  <si>
    <t>Inflatsioon sees?</t>
  </si>
  <si>
    <t>Transpordikulud lõpptarbijani</t>
  </si>
  <si>
    <t>Küte ja elekter</t>
  </si>
  <si>
    <t>Muud tegevuskulud</t>
  </si>
  <si>
    <t>Amortisatsioon</t>
  </si>
  <si>
    <t>transport EE (biometaan)</t>
  </si>
  <si>
    <t>Töötlemise kulu (küte ja elekter)</t>
  </si>
  <si>
    <t>Töötlemise kulu (muud)</t>
  </si>
  <si>
    <t>Amortisatioon</t>
  </si>
  <si>
    <t>Tabel 17</t>
  </si>
  <si>
    <t>Eeldus</t>
  </si>
  <si>
    <t>Sõnniku ja läga kogus kokku aastas</t>
  </si>
  <si>
    <t>mln t</t>
  </si>
  <si>
    <t>Sõnnikukogus 1 hektarile</t>
  </si>
  <si>
    <t>Sõnniku ja lägaga väetatava maa pindala</t>
  </si>
  <si>
    <t>mln ha</t>
  </si>
  <si>
    <t>1 ha taimekaitsevahendite maksumus</t>
  </si>
  <si>
    <t>€/ha</t>
  </si>
  <si>
    <t>kokkuhoitud kulu aastas</t>
  </si>
  <si>
    <t>mln €/a</t>
  </si>
  <si>
    <t>Taimekaitsevahendite kokkuhoitud kulu</t>
  </si>
  <si>
    <t>Muutused 28.01.2013</t>
  </si>
  <si>
    <t>lisatud rida 81</t>
  </si>
  <si>
    <t>kokkuhoitud kulu taimekaitsevahendite müügist</t>
  </si>
  <si>
    <t>€/Nm3</t>
  </si>
  <si>
    <t>Tabel: CO2 kvoodi hinna prognoos modelleeritaval perioodil</t>
  </si>
  <si>
    <t>CO2 kvoodi hind, €/t</t>
  </si>
  <si>
    <t>väli A28</t>
  </si>
  <si>
    <t>otsekuludele on lisatud laenuintressikulu 0.10 €/Nm3 (põhineb 2 äriplaani keskmisel</t>
  </si>
  <si>
    <t>MAAGAASI  OMADUSED, mis teevad temast ihaldusväärse autokütuse:</t>
  </si>
  <si>
    <t>kõrge oktaanarv – ligi 130 ROZ</t>
  </si>
  <si>
    <t>kõrge kütteväärtus – 34 MJ/m³</t>
  </si>
  <si>
    <t>kõrge süttimistemperatuur – 600 °C</t>
  </si>
  <si>
    <t>ei ole agressiivne ega mürgine</t>
  </si>
  <si>
    <t>õhust kergem – suhteline tihedus 0,56</t>
  </si>
  <si>
    <t>Maagaas lendub ja hajub atmosfääris kiiresti, mis on oluline ohutuse seisukohalt.</t>
  </si>
  <si>
    <t>allikas: http://www.gaas.ee/surugaas/surugaas-autokutusena/</t>
  </si>
  <si>
    <t>Surugaasi hind AS Eesti Gaas maagaasi autotanklates:</t>
  </si>
  <si>
    <t>Tallinn, Suur-Sõjamäe 56a     -     0,779 EUR/kg</t>
  </si>
  <si>
    <t>Tallinn, Vinkli 2a                      -      0,779 EUR/kg</t>
  </si>
  <si>
    <t>Tartu, Tähe 135e                       -      0,779 EUR/kg</t>
  </si>
  <si>
    <t>Pärnu, Pärlimõisa tee 29         -      0,779 EUR/kg</t>
  </si>
  <si>
    <t>Narva, Tallinna mnt 81            -      0,779 EUR/kg</t>
  </si>
  <si>
    <t>1 kuumeeter LNG-d kaalub 451 kg</t>
  </si>
  <si>
    <t>1 kuupmeetrist LNG-st saab 571 m3 normaaltingimustel gaasi</t>
  </si>
  <si>
    <t>1 Nm3 kaalub 0.739 kg CNG-d</t>
  </si>
  <si>
    <t>1 kg CNGs on 1.35 Nm3 gaasi</t>
  </si>
  <si>
    <t>1 CNG kuupmeeter on 280 normaalkuupmeetrit</t>
  </si>
  <si>
    <t>1 LNG kuupmeeter on 571 normaalkuupmeetrit</t>
  </si>
  <si>
    <t>käibemaks</t>
  </si>
  <si>
    <t>maagaasi hind torus, võrdluseks, ilma kompremeerimise ja tanklata</t>
  </si>
  <si>
    <t>CNG hind tanklas 0.779 €/kg (koos km). Allikas EG veeb</t>
  </si>
  <si>
    <t>surumaagasi hind NM3 kohta ilma käibemaksuta, EG tanklas</t>
  </si>
  <si>
    <t>MJ/Nm3</t>
  </si>
  <si>
    <t>tihedus</t>
  </si>
  <si>
    <t>€/Nm3, koos käibemaksuga</t>
  </si>
  <si>
    <r>
      <t xml:space="preserve">toetusvajadus aastas </t>
    </r>
    <r>
      <rPr>
        <b/>
        <sz val="10"/>
        <color rgb="FF0000FF"/>
        <rFont val="Arial"/>
        <family val="2"/>
        <charset val="186"/>
      </rPr>
      <t>ekspordile</t>
    </r>
    <r>
      <rPr>
        <sz val="10"/>
        <color rgb="FF0000FF"/>
        <rFont val="Arial"/>
        <family val="2"/>
        <charset val="186"/>
      </rPr>
      <t>, kui müügihind on võrdne stream hinnaga eksportturul</t>
    </r>
  </si>
  <si>
    <t>rida 42</t>
  </si>
  <si>
    <r>
      <rPr>
        <b/>
        <sz val="10"/>
        <color rgb="FFFF0000"/>
        <rFont val="Arial"/>
        <family val="2"/>
        <charset val="186"/>
      </rPr>
      <t xml:space="preserve">Biometaani </t>
    </r>
    <r>
      <rPr>
        <b/>
        <sz val="10"/>
        <color rgb="FFFF0000"/>
        <rFont val="Arial"/>
        <family val="2"/>
        <charset val="186"/>
      </rPr>
      <t>Ko</t>
    </r>
    <r>
      <rPr>
        <b/>
        <sz val="10"/>
        <color rgb="FFFF0000"/>
        <rFont val="Arial"/>
        <family val="2"/>
        <charset val="186"/>
      </rPr>
      <t>dumaine tarbimine transpordis mln Nm3</t>
    </r>
  </si>
  <si>
    <t>keskmine 47%</t>
  </si>
  <si>
    <t>kaudsed positiivsed mõjud eesti tarbimisele taandatuna</t>
  </si>
  <si>
    <t>CO2 tonni hind</t>
  </si>
  <si>
    <t>eesti tarbimise sääst</t>
  </si>
  <si>
    <t>eesti tarbimse osakaal potentsiaalist</t>
  </si>
  <si>
    <t>Biometaani potentsiaal mln Nm3</t>
  </si>
  <si>
    <t>Biometaani Kodumaine tarbimine transpordis mln Nm3</t>
  </si>
  <si>
    <t xml:space="preserve"> </t>
  </si>
  <si>
    <t>Biometaani kodumaine tarbimine transpordis mln Nm3</t>
  </si>
  <si>
    <t>http://en.wikipedia.org/wiki/Value_added_tax#EU_countries</t>
  </si>
  <si>
    <t>rootsis on käibemaks 25%</t>
  </si>
  <si>
    <t>surumaagaasi hind koos järk järgult lisanduva kütuseaktsiisiga</t>
  </si>
  <si>
    <t>surumaagaasi aktsiisi kasv</t>
  </si>
  <si>
    <r>
      <t xml:space="preserve">sinisega ja </t>
    </r>
    <r>
      <rPr>
        <sz val="10"/>
        <color rgb="FFFF0000"/>
        <rFont val="Arial"/>
        <family val="2"/>
        <charset val="186"/>
      </rPr>
      <t>punasega</t>
    </r>
  </si>
  <si>
    <t>rida 24</t>
  </si>
  <si>
    <t>eksporti mitte arvestada</t>
  </si>
  <si>
    <t>ekspordi tulu ei arvesta, kuna ei tea ekspordi kulusid ja tulusid</t>
  </si>
  <si>
    <t>eesti tarbimise osakaal potentsiaalist ja see jääbki muude arvutuste aluseks</t>
  </si>
  <si>
    <t>Biometaan ekspordi potentsiaal tulevikus</t>
  </si>
  <si>
    <t>väli a29</t>
  </si>
  <si>
    <t>müügi hinna aluseks tuleb võtta biometaani hind</t>
  </si>
  <si>
    <t>read a29 ja a30</t>
  </si>
  <si>
    <t>ENMAK juhtkomitee otsus 31.01.14 et müügihinna toetuse asemel tuleb järk järgult tõsta surumaagaasile transpordis kütuseaktsiis nii, et aastal 2025 biometaani omahind ja maagaasi hind koos aktsiisiga võrdustuvad, rida 29 0n biometaani müügitulu arvutamise aluseks, ja puuduolev vahe surubiometaani ja surumaagasi vahel tuleb katta SF ja kvoodimüügi toetusest (kokku perioodil toetus 30 mln €)</t>
  </si>
  <si>
    <t>a 30</t>
  </si>
  <si>
    <t>maagaasi kõrgem hind, pärast 2025, läheb maagaasi aktsiis teede ehitusse</t>
  </si>
  <si>
    <t>soodustamaks biometaani eelistamist maagaasile võiks surumaagaas jääda biometaanist natuke kallimaks, et kindlustada esmalt kogu toodetud biometaani tarbimine transpordis</t>
  </si>
  <si>
    <t>väli h 30</t>
  </si>
  <si>
    <t>arvutustes ei arvestata, vaid on võetud eeldus, et surumaagaasi ja biometaani müügihinnad on võrdsed</t>
  </si>
  <si>
    <t>rida 35</t>
  </si>
  <si>
    <t xml:space="preserve">rida 37 </t>
  </si>
  <si>
    <t>sisu kustutatud kui mitte relevntne</t>
  </si>
  <si>
    <t xml:space="preserve">vana sisu on kustutatud kui ebarelevantne, </t>
  </si>
  <si>
    <t>50% BM potentsiaalist on kasutatud</t>
  </si>
  <si>
    <t>rida 36</t>
  </si>
  <si>
    <t>järkjärguline üleminek maagaasi hinna ja biometaani hinna võrdsustumisele, kuni aastani 2025</t>
  </si>
  <si>
    <r>
      <t xml:space="preserve">toetusvajadus aastas </t>
    </r>
    <r>
      <rPr>
        <b/>
        <sz val="10"/>
        <color rgb="FFFF0000"/>
        <rFont val="Arial"/>
        <family val="2"/>
        <charset val="186"/>
      </rPr>
      <t>kodumaisele tarbimisele kuni aastani 2025</t>
    </r>
  </si>
  <si>
    <t>rida 38</t>
  </si>
  <si>
    <t>toetusvajadus kuni aastani 2025, katmaks biometaani müügihinna ja maagaasi hinna vahet</t>
  </si>
  <si>
    <t xml:space="preserve">rida 50 </t>
  </si>
  <si>
    <t>maksimaalsed kaudsed hüved ainult kodumaise tarbimise puhul</t>
  </si>
  <si>
    <t>read 57 ja 58</t>
  </si>
  <si>
    <t>tootmise primaarenergia kulu on viidud vastavusse ainult koduamise tarbimise jaoks toodetud kogustega osakaal I real</t>
  </si>
  <si>
    <t>read 62 kuni 66</t>
  </si>
  <si>
    <t>käidukulu on vastavusse viidud kodumaise tarbmise kogusega</t>
  </si>
  <si>
    <t>rida 67</t>
  </si>
  <si>
    <t>käive vastab kodumaisele tarbimisele ja biometaani hinnag amüügile</t>
  </si>
  <si>
    <t>rida 70 kuni 73</t>
  </si>
  <si>
    <t>capex viidud kooskõlla kodumaise tarbimise kogusega</t>
  </si>
  <si>
    <t>70% import 30% kodumaine</t>
  </si>
  <si>
    <t>100% kodumaine</t>
  </si>
  <si>
    <t>rida 80</t>
  </si>
  <si>
    <t>kogus viidud kooskõlla kodumaise tarbimisega</t>
  </si>
  <si>
    <t>rida 82</t>
  </si>
  <si>
    <t>rida 83</t>
  </si>
  <si>
    <t>rida 86</t>
  </si>
  <si>
    <t>rida 87</t>
  </si>
  <si>
    <t xml:space="preserve">lisatud sissetulek taimekaitsevahendi ostu kokkhoid, kodumaise tarbmimise kogusega </t>
  </si>
  <si>
    <t>rida 93</t>
  </si>
  <si>
    <r>
      <t xml:space="preserve">Kaasnevad tooted - </t>
    </r>
    <r>
      <rPr>
        <b/>
        <sz val="10"/>
        <color rgb="FF000000"/>
        <rFont val="Arial"/>
        <family val="2"/>
        <charset val="186"/>
      </rPr>
      <t>kääritusjäägi</t>
    </r>
    <r>
      <rPr>
        <sz val="10"/>
        <color rgb="FF000000"/>
        <rFont val="Arial"/>
        <family val="2"/>
        <charset val="186"/>
      </rPr>
      <t xml:space="preserve"> müük mineraalväetise hinnaga 500 €/t koos kokkuhoitud kuluga taimekaitsevahenditele</t>
    </r>
  </si>
  <si>
    <t>rida 108</t>
  </si>
  <si>
    <t>sõnastuses eksport välja võetud, kuna tulu ekspordist ei ole</t>
  </si>
  <si>
    <t>rida 114</t>
  </si>
  <si>
    <t xml:space="preserve">eksport =0, </t>
  </si>
  <si>
    <t>rida 77</t>
  </si>
  <si>
    <t>lisatud tanklate investeeringutoetus aastani 2025</t>
  </si>
  <si>
    <t>fossiilsete väetiste asendamisel kääritusjäägiga väetatamisel kokkuhoitud kulu € aastas</t>
  </si>
  <si>
    <t>kõik puhtad sisendid on taandatud 12% KA sisalduse peale, eeldusel, et vedela kääritusjäägi mulda viimine on keskkonnasõbralikum, kuna õhku auruvad heitmed on sellega minimeeritud, ning saab kasutada olemasolevaid lägalevitajaid</t>
  </si>
  <si>
    <t xml:space="preserve">Taust </t>
  </si>
  <si>
    <t>Waste to fuel tööst</t>
  </si>
  <si>
    <t>TABEL 23 VÄLJAS</t>
  </si>
  <si>
    <t>Hinnus näidisjaam</t>
  </si>
  <si>
    <t>tooret aastas</t>
  </si>
  <si>
    <t>t/a VM</t>
  </si>
  <si>
    <t xml:space="preserve">biometaani </t>
  </si>
  <si>
    <t>nm3</t>
  </si>
  <si>
    <t xml:space="preserve">digestaati </t>
  </si>
  <si>
    <t>keskmiselt biometaani VM toni kohta</t>
  </si>
  <si>
    <t xml:space="preserve">ha, t, </t>
  </si>
  <si>
    <t>Kokku hoitud kulu aastas mineraalväetiste asendamisel rohtse biomassi kääritusjäägiga</t>
  </si>
  <si>
    <t xml:space="preserve">põllumajanduslikud muud jäägid </t>
  </si>
  <si>
    <t>(CH4) and carbon dioxide (CO2). This reduction results in a decreased carbon/nitrogen</t>
  </si>
  <si>
    <t>proportion and improves the quality of manure.</t>
  </si>
  <si>
    <t>Kõrgeima terasaak (6500 kg/ha) saadi väetisvariandis N135 P39 K90 kg/ha.</t>
  </si>
  <si>
    <t>After anaerobic digestion about 25 to 40% of the organic dry matter is converted to methane</t>
  </si>
  <si>
    <t>1 mln Nm3 biometaani kohta kokkuhoitud kulu mineraalväetistele</t>
  </si>
  <si>
    <t>käibe arvutamisel on võetud aluseks biometaani otsekulud, ilma finantskulu ja  ärikasumita e44</t>
  </si>
  <si>
    <t>d115</t>
  </si>
  <si>
    <t>toetustest on tanklatoetus välja võetud</t>
  </si>
  <si>
    <t xml:space="preserve">2.       Tankla investeeringutoetus tootja (äri)kasumit ei mõjuta. Majandusmõju arvutustes suurendab riiklik toetus biokütuse tootja ärikasumit. Pole õige tankla toetust sinna sisse arvutada. See tuleks majandusmõju tabelis eraldi real näidata.
PS: Nõus Olaviga, mu meelest on subsiidium  SKT nö „vabaliige“, mis liidetakse-lahutatakse pärast üldise SKT arvutamist.
AO: selge,  </t>
  </si>
  <si>
    <t>kokkuhoitud kulu taimekaitsevahenditele 0.0344 € /Nm3</t>
  </si>
  <si>
    <t>taimekaitse vahendi kokkuhoitud kulu tuleneb kääritusjäägi kogusest ja sellest toodetud biogaasi koguse suhtest, abitabel väli c185</t>
  </si>
  <si>
    <t>PEAKSKI OLEMA 0</t>
  </si>
  <si>
    <t>MITTESEKKUV STSENA</t>
  </si>
  <si>
    <t>RIDA 17</t>
  </si>
  <si>
    <t>kodumaine biometaani tarbimine peakski olema 0, sest kohapeal ei toodeta ja importida ei tasu, eksport on viga, seda ei ole</t>
  </si>
  <si>
    <t>CNGehk surumaagaasi hind tanklas</t>
  </si>
  <si>
    <t>Surumaagaas hind aktsiisiga</t>
  </si>
  <si>
    <t>laekuv maagaasi aktsiis</t>
  </si>
  <si>
    <t>surumaagaasi energiaühiku kohta €/GJ</t>
  </si>
  <si>
    <t>tulu biometaani müügist kodumaises tarbimises müües biometaani hinnaga</t>
  </si>
  <si>
    <r>
      <t>Biometaani kumuleeruv kogus, 1 aastas</t>
    </r>
    <r>
      <rPr>
        <b/>
        <sz val="10"/>
        <color rgb="FF6AA84F"/>
        <rFont val="Arial"/>
        <family val="2"/>
        <charset val="186"/>
      </rPr>
      <t>, ainult kodumaine tarbimine, importi eksporti ei ole</t>
    </r>
  </si>
  <si>
    <t>tulu  biometaani müügist ilma toetuseta</t>
  </si>
  <si>
    <t>Kaasnevad tooted - kääritusjäägi müük mineraalväetise hinnaga 500 €/t, koos taimekaitse vahendite ostu vähenemiselt kokkuhoitud kuluga</t>
  </si>
  <si>
    <t>lisaTUD taimekaitsevahendite kokkuhoiu kulu - põluumehe kasum</t>
  </si>
  <si>
    <t>rida83</t>
  </si>
  <si>
    <t>lisatud taimekaitsevahendite ostust kokkuhoitud kulu, see on liidetud mineraaväetiste müügist saadud tulule</t>
  </si>
  <si>
    <t xml:space="preserve">NB! Kaasnev toode vähendab importi! </t>
  </si>
  <si>
    <t>rida 112</t>
  </si>
  <si>
    <t>lisatud biometaani primaarenergia bioressursina</t>
  </si>
  <si>
    <t>rida 118</t>
  </si>
  <si>
    <t>bioressurssina on toodud kogu biometaani prirmaarenergeetiline resssurss= d11</t>
  </si>
  <si>
    <t>UUS MUUTUS</t>
  </si>
  <si>
    <t xml:space="preserve">10.02.2014 biokütuste koosolekul otsus: panna biometaan sisse müük sama hinnaga kui eestis, ilma toetuseta, veokulud välja katab kõrgem müügihind eksportturgudel </t>
  </si>
  <si>
    <t>Muutused</t>
  </si>
  <si>
    <t>10.02.14, rohelisega</t>
  </si>
  <si>
    <t>tuleb</t>
  </si>
  <si>
    <t>sees</t>
  </si>
  <si>
    <t>rida 5</t>
  </si>
  <si>
    <t>lisatud biometaani mln kuupmeetrides, mis läheb eksporti</t>
  </si>
  <si>
    <t>0.106 €, transpordi hind soome</t>
  </si>
  <si>
    <r>
      <t>Kumba ekspordi numbrit kasutada? Kasutame seda, r</t>
    </r>
    <r>
      <rPr>
        <sz val="10"/>
        <color rgb="FF008000"/>
        <rFont val="Arial"/>
        <family val="2"/>
        <charset val="186"/>
      </rPr>
      <t>ahvusvaheline allikas, eeldame, et müügihind on kallim transpordi ja vedaja marginali võrr</t>
    </r>
    <r>
      <rPr>
        <sz val="10"/>
        <color rgb="FF0000FF"/>
        <rFont val="Arial"/>
        <family val="2"/>
        <charset val="186"/>
      </rPr>
      <t>a</t>
    </r>
  </si>
  <si>
    <t>müügitulu biometaani ekspordist müües soome biometaani  hinnaga</t>
  </si>
  <si>
    <t xml:space="preserve">rida 57 </t>
  </si>
  <si>
    <t>muudetud tagasi kogu toodangu peale primaarenergia tarbimine</t>
  </si>
  <si>
    <r>
      <rPr>
        <b/>
        <sz val="10"/>
        <color rgb="FF000000"/>
        <rFont val="Arial"/>
        <family val="2"/>
        <charset val="186"/>
      </rPr>
      <t>Käive</t>
    </r>
    <r>
      <rPr>
        <sz val="10"/>
        <color rgb="FF000000"/>
        <rFont val="Arial"/>
        <family val="2"/>
        <charset val="186"/>
      </rPr>
      <t xml:space="preserve"> biokütuste tootmisest/müügist ilma ekspordita</t>
    </r>
  </si>
  <si>
    <t>Kulud kui müüakse biometaani hinnaga ilma ekspordita</t>
  </si>
  <si>
    <t>read 62-66</t>
  </si>
  <si>
    <t>muudetud tagasi kogupotentsiaali kasutamise peale</t>
  </si>
  <si>
    <t>read 70-73</t>
  </si>
  <si>
    <t>rida 74</t>
  </si>
  <si>
    <t>tanklate investeerimistoetus</t>
  </si>
  <si>
    <t>toetusvajadus juhul, kui surumaagaasi aktsiisi ei tõsteta järk järgult</t>
  </si>
  <si>
    <t>käive, kui surumaagaasi aktsiisi ei kehtestata</t>
  </si>
  <si>
    <t>New Policies IEA</t>
  </si>
  <si>
    <t>barrel (USD 2012)</t>
  </si>
  <si>
    <t>võrdlus %</t>
  </si>
  <si>
    <t>103,7</t>
  </si>
  <si>
    <t>106,4</t>
  </si>
  <si>
    <t>111,0</t>
  </si>
  <si>
    <t>117,4</t>
  </si>
  <si>
    <t>gaas võrdlus %</t>
  </si>
  <si>
    <t>101,7</t>
  </si>
  <si>
    <t>102,6</t>
  </si>
  <si>
    <t>105,1</t>
  </si>
  <si>
    <t>108,5</t>
  </si>
  <si>
    <t>diisel</t>
  </si>
  <si>
    <t>bensiin</t>
  </si>
  <si>
    <t>biodiisel</t>
  </si>
  <si>
    <t>etanool</t>
  </si>
  <si>
    <t>biogaas</t>
  </si>
  <si>
    <t>Surumaagaas</t>
  </si>
  <si>
    <t>Ahto BCNG</t>
  </si>
  <si>
    <t>Biokütuste aktsiis võrreldes fossiil</t>
  </si>
  <si>
    <t>ETD eelnõu</t>
  </si>
  <si>
    <t>surumaagaasi aktsiisi € energiaühiku kohta</t>
  </si>
  <si>
    <t>rida 43</t>
  </si>
  <si>
    <t>ümber nimetatud biometaani käibeks müües biometaani hinnaga</t>
  </si>
  <si>
    <t>maksimaalne kogutulu biometaani müügist kodumaises tarbimises müües biometaani otsekulu hinnaga, pluss toetus,</t>
  </si>
  <si>
    <t>stsenade tutvustus</t>
  </si>
  <si>
    <t>stsenarist</t>
  </si>
  <si>
    <t>maj mõjud</t>
  </si>
  <si>
    <t>hindajad</t>
  </si>
  <si>
    <t>T&amp;A</t>
  </si>
  <si>
    <t xml:space="preserve">vajadused, </t>
  </si>
  <si>
    <t>ettepanekud Ülo Kasele</t>
  </si>
  <si>
    <t>kogu jutt wiki baasil</t>
  </si>
  <si>
    <t>tulemused esitamiseks korda</t>
  </si>
  <si>
    <t>märtsi lõpuks tuleb meie panus üle anda</t>
  </si>
  <si>
    <t>üleandmise sisu on külmutatud wikis</t>
  </si>
  <si>
    <t>oluliste kohtade rõhutamise koht</t>
  </si>
  <si>
    <r>
      <t>Hinnad</t>
    </r>
    <r>
      <rPr>
        <b/>
        <sz val="10"/>
        <color rgb="FF000000"/>
        <rFont val="Arial"/>
        <family val="2"/>
        <charset val="186"/>
      </rPr>
      <t xml:space="preserve"> - suurenevad IEA prognoosi kohaselt, vs maagaas</t>
    </r>
  </si>
  <si>
    <t>€/a hinnakasv</t>
  </si>
  <si>
    <t>IEA fossiilsete kütuste hinnakasv ajas, biometaan vs maagaas</t>
  </si>
  <si>
    <t xml:space="preserve">19% Tanklate investeerimistoetus kuni aastani 2025 </t>
  </si>
  <si>
    <t>Tanklate investeeringutoetus 19% CAPEX</t>
  </si>
  <si>
    <t>Bioetanooli muutus</t>
  </si>
  <si>
    <t>jääb mõtteharjutusena sisse</t>
  </si>
  <si>
    <t>ddgs kaasnev müük</t>
  </si>
  <si>
    <t>toodangu hind €/t</t>
  </si>
  <si>
    <t>invest toetus 50%</t>
  </si>
  <si>
    <t>eeldus et soojusenergia on 100% taastuv</t>
  </si>
  <si>
    <t>12.02.14 koosoleku otsus (osalesid, Siim Meeliste MKM, Tiit Maidre, EBÜ, Ahto Oja ja Peep Siitam Arengufond</t>
  </si>
  <si>
    <t>Surubiometaani ja surumaagaasi hinna erinevus, mida tuleb kuni aastani 2025 toetada</t>
  </si>
  <si>
    <r>
      <rPr>
        <b/>
        <sz val="10"/>
        <color rgb="FF000000"/>
        <rFont val="Arial"/>
        <family val="2"/>
        <charset val="186"/>
      </rPr>
      <t xml:space="preserve">Käive ja </t>
    </r>
    <r>
      <rPr>
        <b/>
        <sz val="10"/>
        <color rgb="FF000000"/>
        <rFont val="Arial"/>
        <family val="2"/>
        <charset val="186"/>
      </rPr>
      <t>Müügitulud</t>
    </r>
  </si>
  <si>
    <t>KÄIVE biometaani müües biometaani hinnaga, ILMA TOETUSETA</t>
  </si>
  <si>
    <t>tulu  biometaani müügist kokku, kodumaine tarbimine KOOS TOETUSEGA kuni 2050</t>
  </si>
  <si>
    <t>biometaani müügiTULU (kodumaine tarbimine + eksport)</t>
  </si>
  <si>
    <t>maksmaalne kogutulu biometaani müügist kodumaises tarbimises müües BIOMETAANI hinnaga, pluss toetus, - toodud võrdluseks</t>
  </si>
  <si>
    <t>CO2 tonnid arvutatud tagasi maksimaalse biometaani toodangu peale</t>
  </si>
  <si>
    <r>
      <t xml:space="preserve">käive biometaani müügist </t>
    </r>
    <r>
      <rPr>
        <b/>
        <sz val="10"/>
        <color rgb="FFFF0000"/>
        <rFont val="Arial"/>
        <family val="2"/>
        <charset val="186"/>
      </rPr>
      <t>kodumaises</t>
    </r>
    <r>
      <rPr>
        <sz val="10"/>
        <color rgb="FFFF0000"/>
        <rFont val="Arial"/>
        <family val="2"/>
        <charset val="186"/>
      </rPr>
      <t xml:space="preserve"> tarbimises müües biometaani tootmise omahinnaga ilma toetuseta, finantskuluta ja ärikasumita</t>
    </r>
  </si>
  <si>
    <t>rida 48</t>
  </si>
  <si>
    <t>ümber nimetatud Käive biokütuste tootmisest/müügist</t>
  </si>
  <si>
    <t>Käive biokütuste tootmisest/müügist, ilma toetuse, finantkulu ja tulunormita</t>
  </si>
  <si>
    <t>vähendab väetiste ja taimekaitsevahendite importi</t>
  </si>
  <si>
    <t>toetused kokku</t>
  </si>
  <si>
    <r>
      <t xml:space="preserve">5% </t>
    </r>
    <r>
      <rPr>
        <sz val="10"/>
        <color rgb="FFFF0000"/>
        <rFont val="Arial"/>
        <family val="2"/>
        <charset val="186"/>
      </rPr>
      <t>kasutuses olevast</t>
    </r>
    <r>
      <rPr>
        <sz val="10"/>
        <color rgb="FF000000"/>
        <rFont val="Arial"/>
        <family val="2"/>
        <charset val="186"/>
      </rPr>
      <t xml:space="preserve"> põllumaast vastavalt Maaelu Arengukavale</t>
    </r>
  </si>
  <si>
    <t>maxi stsena kodumaine tarbimine</t>
  </si>
  <si>
    <t>maksimaalne kogutulu biometaani müügist kodumaises tarbimises müües biometaani hinnaga, pluss toetus</t>
  </si>
  <si>
    <r>
      <t xml:space="preserve">müügitulu biometaani </t>
    </r>
    <r>
      <rPr>
        <b/>
        <sz val="10"/>
        <color rgb="FF000000"/>
        <rFont val="Arial"/>
        <family val="2"/>
        <charset val="186"/>
      </rPr>
      <t>ekspordist</t>
    </r>
    <r>
      <rPr>
        <sz val="10"/>
        <color rgb="FF000000"/>
        <rFont val="Arial"/>
        <family val="2"/>
        <charset val="186"/>
      </rPr>
      <t xml:space="preserve"> müües biometaani hinnaga</t>
    </r>
  </si>
  <si>
    <t>Tanklate investeeringutoetus 50% CAPEX kuni toetust jätkub (30 mln= 50-20)</t>
  </si>
  <si>
    <t xml:space="preserve">Tankla toetus kokku mln €. </t>
  </si>
  <si>
    <t>KASUTAMATA POTENTSIAALNE RESSURSS</t>
  </si>
  <si>
    <t>VÄHESEKKUV</t>
  </si>
  <si>
    <t>SAMAD MUUDATUSED</t>
  </si>
  <si>
    <t>mittesekkuv</t>
  </si>
  <si>
    <t>lisatud bioressursside kasutamata potentsiaal</t>
  </si>
  <si>
    <t>bioet maxi</t>
  </si>
  <si>
    <t>väli a28</t>
  </si>
  <si>
    <t>müügihinnaks FOB hind, viimase perioodi keskmine</t>
  </si>
  <si>
    <t>BIOETANOOLI HIND</t>
  </si>
  <si>
    <t>ISIC</t>
  </si>
  <si>
    <t xml:space="preserve">ANDMEPÄRINGU VASTUS </t>
  </si>
  <si>
    <t>5 VEEBRUAR</t>
  </si>
  <si>
    <t>DOMESTIC PRICES</t>
  </si>
  <si>
    <t>BEVERAGE - 96% molasses</t>
  </si>
  <si>
    <t>Click for Price History</t>
  </si>
  <si>
    <t>Price Range</t>
  </si>
  <si>
    <t>One year ago</t>
  </si>
  <si>
    <t>FD UK</t>
  </si>
  <si>
    <t>GBP/HL</t>
  </si>
  <si>
    <t>n/c</t>
  </si>
  <si>
    <t>60.00-65.00</t>
  </si>
  <si>
    <t>66.00-70.00</t>
  </si>
  <si>
    <t>FD FRANCE</t>
  </si>
  <si>
    <t>EUR/HL</t>
  </si>
  <si>
    <t>68.00-75.00</t>
  </si>
  <si>
    <t>75.00-80.00</t>
  </si>
  <si>
    <t>FD GERMANY</t>
  </si>
  <si>
    <t>67.00-75.00</t>
  </si>
  <si>
    <t>FD ITALY</t>
  </si>
  <si>
    <t>67.00-74.00</t>
  </si>
  <si>
    <t>79.00-81.00</t>
  </si>
  <si>
    <t>INDUSTRIAL - 99%</t>
  </si>
  <si>
    <t>GBP/TONNE</t>
  </si>
  <si>
    <t>800.00-900.00</t>
  </si>
  <si>
    <t>850.00-930.00</t>
  </si>
  <si>
    <t>69.00-79.00</t>
  </si>
  <si>
    <t>78.00-82.00</t>
  </si>
  <si>
    <t>70.00-79.00</t>
  </si>
  <si>
    <t>78.00-81.00</t>
  </si>
  <si>
    <t>81.00-84.00</t>
  </si>
  <si>
    <t>HL HEKTOLIITER 1 HL=100 L</t>
  </si>
  <si>
    <t>keskmised</t>
  </si>
  <si>
    <t>keskmistatud bioetanooli hind FRA, GER,ITA €/l €/kg, seisuga 5 veebruar 2014</t>
  </si>
  <si>
    <t>Platts key daily ethanol assessments</t>
  </si>
  <si>
    <t>United States (¢/gal) (PBF page 210)</t>
  </si>
  <si>
    <t>Ethanol Chicago (terminal) AALRI00 259.00-259.10 259.05 +4.75</t>
  </si>
  <si>
    <t>Ethanol swap Chicago (Aug) ESCM001 243.20-243.30 243.25 +3.75</t>
  </si>
  <si>
    <t>Brazil Cargo Assessments ($/cu m) (PBF page 220)</t>
  </si>
  <si>
    <t>Ethanol FOB Santos Cargo AAWFO00 634.95-635.05 635.00 -2.50</t>
  </si>
  <si>
    <t>Northwest Europe (€/cu m) (PBF page 1210)</t>
  </si>
  <si>
    <t>Asia Pacific ($/cu m) (PBF page 2210)</t>
  </si>
  <si>
    <t>Bioethanol CIF Philippines AAWAA00 766.33-768.33 767.33 +1.00</t>
  </si>
  <si>
    <t>seisuga 15 juuli 2013</t>
  </si>
  <si>
    <t>http://platts.com/IM.Platts.Content/ProductsServices/Products/biofuelscan.pdf</t>
  </si>
  <si>
    <t>.S. gal to liters Conversion Table:
1 g.      = 3.785 L
2          = 7.571 
3         = 11.356 
4         = 15.142 
5         = 18.927 10 g.      = 37.854 L
20          = 75.708 
50          = 189.271
100        = 378.541
1000       = 3785.412</t>
  </si>
  <si>
    <t>http://bilet.pp.ru/calculator/gallon_litre_conversion_calculator_convert_gal_l.php</t>
  </si>
  <si>
    <t xml:space="preserve"> 1 gallon on 3.785 l</t>
  </si>
  <si>
    <t>USD Eur kurss</t>
  </si>
  <si>
    <t>€/M3 ehk €/1000 l</t>
  </si>
  <si>
    <t>allikas puudu</t>
  </si>
  <si>
    <t xml:space="preserve">allikad annavad </t>
  </si>
  <si>
    <r>
      <t xml:space="preserve">Ethanol T2 FOB Rotterdam AAYDT00 625.50-626.50 </t>
    </r>
    <r>
      <rPr>
        <b/>
        <sz val="12"/>
        <color rgb="FFFF0000"/>
        <rFont val="Arial"/>
        <family val="2"/>
        <charset val="186"/>
      </rPr>
      <t>626.00</t>
    </r>
    <r>
      <rPr>
        <sz val="10"/>
        <color rgb="FF000000"/>
        <rFont val="Arial"/>
        <family val="2"/>
        <charset val="186"/>
      </rPr>
      <t xml:space="preserve"> -1.00</t>
    </r>
  </si>
  <si>
    <r>
      <t xml:space="preserve"> Low-High </t>
    </r>
    <r>
      <rPr>
        <b/>
        <sz val="14"/>
        <color rgb="FFFF0000"/>
        <rFont val="Arial"/>
        <family val="2"/>
        <charset val="186"/>
      </rPr>
      <t>Midpoint</t>
    </r>
    <r>
      <rPr>
        <sz val="10"/>
        <color rgb="FF000000"/>
        <rFont val="Arial"/>
        <family val="2"/>
        <charset val="186"/>
      </rPr>
      <t xml:space="preserve"> Change</t>
    </r>
  </si>
  <si>
    <t>€/1000 l ehk m3</t>
  </si>
  <si>
    <t>LINGITUD Stsenaariumite failidega</t>
  </si>
  <si>
    <t>Kütuse turuhind EUR/TJ 2012</t>
  </si>
  <si>
    <t>El</t>
  </si>
  <si>
    <t>2035 kasv on tehtud 2030/2035 kasvu%</t>
  </si>
  <si>
    <t>Kütus</t>
  </si>
  <si>
    <t>kasvab koos maagaasi hinna kasvutempoga</t>
  </si>
  <si>
    <t>Aktsiisi laekumine EUR/TJ</t>
  </si>
  <si>
    <t>CO2 maks/TJ</t>
  </si>
  <si>
    <t>Aktsiis</t>
  </si>
  <si>
    <t>siin sektoris ei arvesta</t>
  </si>
  <si>
    <t>Käibemaks kütuselt EUR/TJ</t>
  </si>
  <si>
    <t>TJ hind lõpptarbijale</t>
  </si>
  <si>
    <t>EUR/TJ</t>
  </si>
  <si>
    <t>Osakaal tarbimisest</t>
  </si>
  <si>
    <t>liiter/TJ</t>
  </si>
  <si>
    <t>Kaallutud keskm.</t>
  </si>
  <si>
    <t>Kaalutud keskmine hind lõpptarbijale EUR/TJ</t>
  </si>
  <si>
    <t>Kaalutud keskmine liitrit/TJ</t>
  </si>
  <si>
    <t>TJ hind ilma käibemaksuta</t>
  </si>
  <si>
    <t>Kaalutud keskmine ilma km</t>
  </si>
  <si>
    <t>Kütuse käibemaks, EUR/TJ</t>
  </si>
  <si>
    <t>Kütuseaktsiisi tõstmine (nii, et kütuse jaehind kasvab  5%)</t>
  </si>
  <si>
    <t>Vahe</t>
  </si>
  <si>
    <t>Uus aktsiis</t>
  </si>
  <si>
    <t>% kasv</t>
  </si>
  <si>
    <t xml:space="preserve">Diisli hind tanklates </t>
  </si>
  <si>
    <t>Käibemaks</t>
  </si>
  <si>
    <t>Kütuse maailmaturuhind</t>
  </si>
  <si>
    <t>Müüja</t>
  </si>
  <si>
    <t>Bensiini hind tanklates</t>
  </si>
  <si>
    <t xml:space="preserve">Aktsiis </t>
  </si>
  <si>
    <t xml:space="preserve">Müüja </t>
  </si>
  <si>
    <t xml:space="preserve">Maagaasi aktsiis  EUR/m3 </t>
  </si>
  <si>
    <t>Elektriaktsiis</t>
  </si>
  <si>
    <t>Kütteväärtus MJ/m3</t>
  </si>
  <si>
    <t>0.0036</t>
  </si>
  <si>
    <t>MJ</t>
  </si>
  <si>
    <t>Elektri hind - Liberal Scenario</t>
  </si>
  <si>
    <t>€/MWh</t>
  </si>
  <si>
    <t>2012</t>
  </si>
  <si>
    <t>2020</t>
  </si>
  <si>
    <t>2026</t>
  </si>
  <si>
    <t>2030</t>
  </si>
  <si>
    <t>2035</t>
  </si>
  <si>
    <t>2040</t>
  </si>
  <si>
    <t>2045</t>
  </si>
  <si>
    <t>2050</t>
  </si>
  <si>
    <t>ESTONIA</t>
  </si>
  <si>
    <t>Biometaani</t>
  </si>
  <si>
    <t>Müügitoetus</t>
  </si>
  <si>
    <t>eur</t>
  </si>
  <si>
    <t>Investeeringutoetus</t>
  </si>
  <si>
    <t>CO2 diislist 78 ton/TJ</t>
  </si>
  <si>
    <t>CO2 tons</t>
  </si>
  <si>
    <t>väliskulu</t>
  </si>
  <si>
    <t xml:space="preserve">CNG tanklas </t>
  </si>
  <si>
    <t>0,779 EUR/kg</t>
  </si>
  <si>
    <t>kg</t>
  </si>
  <si>
    <t>rida 29</t>
  </si>
  <si>
    <t>bioetanooli lähtehind pandud kasvama IEA koefitsiendiga (töölehelt TJ kytusehinnad)</t>
  </si>
  <si>
    <t>Investeeringutoetus 50% CAPEX</t>
  </si>
  <si>
    <r>
      <t xml:space="preserve">Kaasnevad tooted - praaga müük hinnaga </t>
    </r>
    <r>
      <rPr>
        <sz val="10"/>
        <color rgb="FF000000"/>
        <rFont val="Arial"/>
        <family val="2"/>
        <charset val="186"/>
      </rPr>
      <t>200</t>
    </r>
    <r>
      <rPr>
        <sz val="10"/>
        <color rgb="FF000000"/>
        <rFont val="Arial"/>
        <family val="2"/>
        <charset val="186"/>
      </rPr>
      <t xml:space="preserve"> €/</t>
    </r>
    <r>
      <rPr>
        <sz val="10"/>
        <color rgb="FF000000"/>
        <rFont val="Arial"/>
        <family val="2"/>
        <charset val="186"/>
      </rPr>
      <t>t</t>
    </r>
  </si>
  <si>
    <t>uus rida 58</t>
  </si>
  <si>
    <t>investeeringutoetus 50% bioetanoolitehase capex</t>
  </si>
  <si>
    <t>http://www.bioenergybaltic.ee/bw_client_files/bioenergybaltic/public/img/File/Biokytuse_kasutaja_kasiraamat.pdf</t>
  </si>
  <si>
    <t>kilo</t>
  </si>
  <si>
    <t>mega</t>
  </si>
  <si>
    <t>giga</t>
  </si>
  <si>
    <t>tera</t>
  </si>
  <si>
    <t>peta</t>
  </si>
  <si>
    <t>BTU</t>
  </si>
  <si>
    <t>s.o. 1 naela vee soojendamiseks kuluv energia 1 Fahrenheidi kraadi võrra</t>
  </si>
  <si>
    <t>jouli</t>
  </si>
  <si>
    <t>mmBTU</t>
  </si>
  <si>
    <t>g/MJ</t>
  </si>
  <si>
    <t>t/MJ</t>
  </si>
  <si>
    <t>t/TJ</t>
  </si>
  <si>
    <t>tuh tonni</t>
  </si>
  <si>
    <t>Investeeringu toetus 50% CAPEX</t>
  </si>
  <si>
    <t>transport vähesekkuv</t>
  </si>
  <si>
    <t>bioet vähesekkuv</t>
  </si>
  <si>
    <t>samad muutused sisse viidud</t>
  </si>
  <si>
    <t>rida 17</t>
  </si>
  <si>
    <t>etanoolitarbimine viidud vastavusse transport vähesekkuvaga</t>
  </si>
  <si>
    <t>ainult import</t>
  </si>
  <si>
    <t>mittesekkuv=BAU</t>
  </si>
  <si>
    <t>etanoolitarbimine viidud vastavusse transport BAU-mittesekkuvaga tarbimisega</t>
  </si>
  <si>
    <t>transport BAU, mittesekkuv</t>
  </si>
  <si>
    <r>
      <t>Kaasnevad tooted - praaga müük hinnaga 0,</t>
    </r>
    <r>
      <rPr>
        <b/>
        <sz val="10"/>
        <color rgb="FF000000"/>
        <rFont val="Arial"/>
        <family val="2"/>
        <charset val="186"/>
      </rPr>
      <t>2</t>
    </r>
    <r>
      <rPr>
        <b/>
        <sz val="10"/>
        <color rgb="FF000000"/>
        <rFont val="Arial"/>
        <family val="2"/>
        <charset val="186"/>
      </rPr>
      <t xml:space="preserve"> €/</t>
    </r>
    <r>
      <rPr>
        <b/>
        <sz val="10"/>
        <color rgb="FF000000"/>
        <rFont val="Arial"/>
        <family val="2"/>
        <charset val="186"/>
      </rPr>
      <t>kg</t>
    </r>
  </si>
  <si>
    <t>Eeldame, et 20% sellest pindalast on kasutatav biomassi kasvatamiseks, mida kasutatakse biogaasi tootmiseks aastal 2020</t>
  </si>
  <si>
    <t>Biometaani Eksport mln Nm3</t>
  </si>
  <si>
    <t>Biometaani kumuleeruv kogus, 1 aastas, ainult kodumaine tarbimine, importi eksporti ei ole</t>
  </si>
  <si>
    <t>MITTESEKKUV</t>
  </si>
  <si>
    <t>MAXI</t>
  </si>
  <si>
    <t>MAXI mln Nm3</t>
  </si>
  <si>
    <t xml:space="preserve">VÄHESEKKUV, mln Nm3 </t>
  </si>
  <si>
    <t>BM €/kg</t>
  </si>
  <si>
    <t>BM vs Bens 1.3 on soodsam, koos käibemaksuga, bens aktsiisiga BM ilma</t>
  </si>
  <si>
    <t>mn Nm3</t>
  </si>
  <si>
    <t>Biometaan vähesekkuv teekaart</t>
  </si>
  <si>
    <t>Biometaani tarbimine (ainult Eestis)</t>
  </si>
  <si>
    <t>TWh/a</t>
  </si>
  <si>
    <t>CAPEX Ehitustööd</t>
  </si>
  <si>
    <t>OPEX - Biokütuste tootmise ja jaotamise otsekulud - M€ aastas kokku</t>
  </si>
  <si>
    <t>CAPEX Tanklad</t>
  </si>
  <si>
    <t>CAPEX Sõidukite ümberehitus</t>
  </si>
  <si>
    <t>CAPEX Seadmed</t>
  </si>
  <si>
    <t>tuh ha</t>
  </si>
  <si>
    <t>tuh t/a</t>
  </si>
  <si>
    <t>Sellest biogaasi tootmiseks aastal 2030 on 30%</t>
  </si>
  <si>
    <t>Eeldame, et 50% sellest  on kasutatav biomassi kasvatamiseks, mida kasutatakse biogaasi tootmiseks aastal 2050</t>
  </si>
  <si>
    <t>Eeldame, et 30% sellest pindalast on kasutatav 2030.a biomassi kasvatamiseks, mida kasutatakse biogaasi tootmiseks aastal 2030</t>
  </si>
  <si>
    <t>MAXISEKKUV</t>
  </si>
  <si>
    <t>Allikas:Pindalatoetused 2011, PRIA, [http://www.energiatalgud.ee/images/0/02/Pindalatoetuste_trykis_2011.pdf#page=25</t>
  </si>
  <si>
    <t>rohtne biomass kokku</t>
  </si>
  <si>
    <t>muu kokku</t>
  </si>
  <si>
    <t>kõik kokku</t>
  </si>
  <si>
    <r>
      <t>Biometaani potentsiaal</t>
    </r>
    <r>
      <rPr>
        <b/>
        <sz val="10"/>
        <color rgb="FF000000"/>
        <rFont val="Arial"/>
        <family val="2"/>
        <charset val="186"/>
      </rPr>
      <t xml:space="preserve"> kokku</t>
    </r>
  </si>
  <si>
    <t>Biometaani kodumaise tarbimise osakaal</t>
  </si>
  <si>
    <t xml:space="preserve">Biometaani potentsiaal </t>
  </si>
  <si>
    <t>BIOMETAAN MAXI</t>
  </si>
  <si>
    <t xml:space="preserve">Kodumaine tarbimine  </t>
  </si>
  <si>
    <t>Biometaani Eksport</t>
  </si>
  <si>
    <t>Surubiometaani ja surumaagaasi hinna erinevus, nn "delta küsimus"</t>
  </si>
  <si>
    <t>tulu  biometaani müügist Eestis</t>
  </si>
  <si>
    <t>Tulu biometaani ekspordist</t>
  </si>
  <si>
    <t>Biometaani müügi kogukäive</t>
  </si>
  <si>
    <t xml:space="preserve">Kaasnevad tooted müük kokku </t>
  </si>
  <si>
    <t>Kääritusjäägi müügitulu</t>
  </si>
  <si>
    <t>Tulu taimekaitsevahendite mittekulust</t>
  </si>
  <si>
    <t xml:space="preserve">CO2 heide biometaani tootmisest (WTT) 18 gCO2 ekv/MJ </t>
  </si>
  <si>
    <t>Biometaani % kütuste tarbimisest Eestis</t>
  </si>
  <si>
    <t xml:space="preserve">Biometaani ekspordi % </t>
  </si>
  <si>
    <t>Tanklate toetus 19% CAPEX</t>
  </si>
  <si>
    <t>Etanooli osakaal</t>
  </si>
  <si>
    <t>SEISUGA 15 VEEBRUAR</t>
  </si>
  <si>
    <t>CO2 emissioon</t>
  </si>
  <si>
    <t>tonn</t>
  </si>
  <si>
    <t>KOKKU</t>
  </si>
  <si>
    <t>Transport VS_TAK</t>
  </si>
  <si>
    <t xml:space="preserve">Transport BAU </t>
  </si>
  <si>
    <t>15.02 seisuga</t>
  </si>
  <si>
    <t>Biometaani osakaal</t>
  </si>
  <si>
    <t>Bioetanooli osakaal</t>
  </si>
  <si>
    <t>MITTESEKKUV_BAU</t>
  </si>
  <si>
    <t>konservatiivsuse koefitsient</t>
  </si>
  <si>
    <t xml:space="preserve">konservatiivsuse koefitsient </t>
  </si>
  <si>
    <t>kokkuhoitud kulu taimekaitsevahenditele 0.036 € /Nm3</t>
  </si>
  <si>
    <t>kokkuhoitud kulu taimekaitsevahenditele 0.0336 € /Nm3</t>
  </si>
  <si>
    <t>kui maagaasi aktsiisi ei tule,  müügihinnavahe toetus</t>
  </si>
  <si>
    <t xml:space="preserve">50% Tanklate investeerimistoetus kuni aastani 2025 </t>
  </si>
  <si>
    <t>Bioetanool MAXI mln l</t>
  </si>
  <si>
    <t>Bioetanool VÄHESEKKUV  mln l</t>
  </si>
  <si>
    <t>MITTESEKKUVAD, mln Nm3</t>
  </si>
  <si>
    <t>Kokku  </t>
  </si>
  <si>
    <t>Transport Vähesekkuv_TAK</t>
  </si>
  <si>
    <t xml:space="preserve">Kokku </t>
  </si>
  <si>
    <t xml:space="preserve">MAXI_Bioetanooli osakaal </t>
  </si>
  <si>
    <t xml:space="preserve">MAXI-Biometaani osakaal </t>
  </si>
  <si>
    <t>VÄHESEKKUV - Etanooli osakaal</t>
  </si>
  <si>
    <t>VÄHESEKKUV - Biometaani osakaal</t>
  </si>
  <si>
    <t>MITTESEKKUV-Biometaani osakaal</t>
  </si>
  <si>
    <t>MITTESEKKUV-Bioetanooli osakaal</t>
  </si>
  <si>
    <t xml:space="preserve">Bioetanooli kodumaine </t>
  </si>
  <si>
    <t>Bioetanooli eksport</t>
  </si>
  <si>
    <t>Bioetanooli kodumaine tarbimine mln l/a</t>
  </si>
  <si>
    <t>Bioetanooli eksport mln l/a</t>
  </si>
  <si>
    <t>Tanklate inv_aastane</t>
  </si>
  <si>
    <t>Sõidukite ümberehitus_aastane</t>
  </si>
  <si>
    <t>Muudetud 01.08.2014 - varem olid siin andmed Biomet_max töölehelt</t>
  </si>
  <si>
    <t>Muudetud 01.08.2014 - varem olid siin andmed Bioet_max töölehelt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</si>
</sst>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000"/>
    <numFmt numFmtId="166" formatCode="#,##0.00\ [$€-1]"/>
    <numFmt numFmtId="167" formatCode="m/d/yyyy;@"/>
    <numFmt numFmtId="168" formatCode="#,##0.000"/>
    <numFmt numFmtId="169" formatCode="0.0"/>
    <numFmt numFmtId="170" formatCode="0.0%"/>
    <numFmt numFmtId="171" formatCode="0.000"/>
    <numFmt numFmtId="172" formatCode="#,##0.00000"/>
    <numFmt numFmtId="173" formatCode="_ * #,##0.00_ ;_ * \-#,##0.00_ ;_ * &quot;-&quot;??_ ;_ @_ "/>
    <numFmt numFmtId="174" formatCode="_(* #,##0.00_);_(* \(#,##0.00\);_(* &quot;-&quot;??_);_(@_)"/>
    <numFmt numFmtId="175" formatCode="0.0000"/>
  </numFmts>
  <fonts count="146" x14ac:knownFonts="1">
    <font>
      <sz val="10"/>
      <color rgb="FF000000"/>
      <name val="Arial"/>
    </font>
    <font>
      <sz val="12"/>
      <color theme="1"/>
      <name val="Calibri"/>
      <family val="2"/>
      <scheme val="minor"/>
    </font>
    <font>
      <i/>
      <sz val="10"/>
      <color rgb="FF000000"/>
      <name val="Arial"/>
      <family val="2"/>
      <charset val="186"/>
    </font>
    <font>
      <b/>
      <sz val="10"/>
      <color rgb="FF38761D"/>
      <name val="Arial"/>
      <family val="2"/>
      <charset val="186"/>
    </font>
    <font>
      <b/>
      <sz val="18"/>
      <color rgb="FFFF0000"/>
      <name val="Arial"/>
      <family val="2"/>
      <charset val="186"/>
    </font>
    <font>
      <b/>
      <sz val="10"/>
      <color rgb="FF38761D"/>
      <name val="Arial"/>
      <family val="2"/>
      <charset val="186"/>
    </font>
    <font>
      <b/>
      <sz val="10"/>
      <color rgb="FFFF0000"/>
      <name val="Arial"/>
      <family val="2"/>
      <charset val="186"/>
    </font>
    <font>
      <i/>
      <sz val="10"/>
      <color rgb="FF000000"/>
      <name val="Arial"/>
      <family val="2"/>
      <charset val="186"/>
    </font>
    <font>
      <b/>
      <sz val="10"/>
      <color rgb="FF6AA84F"/>
      <name val="Arial"/>
      <family val="2"/>
      <charset val="186"/>
    </font>
    <font>
      <b/>
      <sz val="10"/>
      <color rgb="FF000000"/>
      <name val="Arial"/>
      <family val="2"/>
      <charset val="186"/>
    </font>
    <font>
      <b/>
      <sz val="10"/>
      <color rgb="FF274E13"/>
      <name val="Arial"/>
      <family val="2"/>
      <charset val="186"/>
    </font>
    <font>
      <b/>
      <sz val="10"/>
      <color rgb="FF000000"/>
      <name val="Arial"/>
      <family val="2"/>
      <charset val="186"/>
    </font>
    <font>
      <b/>
      <i/>
      <sz val="10"/>
      <color rgb="FF000000"/>
      <name val="Arial"/>
      <family val="2"/>
      <charset val="186"/>
    </font>
    <font>
      <b/>
      <sz val="10"/>
      <color rgb="FFFF0000"/>
      <name val="Arial"/>
      <family val="2"/>
      <charset val="186"/>
    </font>
    <font>
      <b/>
      <sz val="10"/>
      <color rgb="FF000000"/>
      <name val="Arial"/>
      <family val="2"/>
      <charset val="186"/>
    </font>
    <font>
      <b/>
      <i/>
      <sz val="10"/>
      <color rgb="FF000000"/>
      <name val="Arial"/>
      <family val="2"/>
      <charset val="186"/>
    </font>
    <font>
      <i/>
      <sz val="10"/>
      <color rgb="FF000000"/>
      <name val="Arial"/>
      <family val="2"/>
      <charset val="186"/>
    </font>
    <font>
      <b/>
      <sz val="10"/>
      <color rgb="FFFF0000"/>
      <name val="Arial"/>
      <family val="2"/>
      <charset val="186"/>
    </font>
    <font>
      <b/>
      <sz val="10"/>
      <color rgb="FF6AA84F"/>
      <name val="Arial"/>
      <family val="2"/>
      <charset val="186"/>
    </font>
    <font>
      <b/>
      <sz val="10"/>
      <color rgb="FF000000"/>
      <name val="Arial"/>
      <family val="2"/>
      <charset val="186"/>
    </font>
    <font>
      <b/>
      <sz val="10"/>
      <color rgb="FFFF0000"/>
      <name val="Arial"/>
      <family val="2"/>
      <charset val="186"/>
    </font>
    <font>
      <i/>
      <sz val="10"/>
      <color rgb="FF000000"/>
      <name val="Arial"/>
      <family val="2"/>
      <charset val="186"/>
    </font>
    <font>
      <sz val="12"/>
      <color rgb="FF38761D"/>
      <name val="Arial"/>
      <family val="2"/>
      <charset val="186"/>
    </font>
    <font>
      <sz val="10"/>
      <color rgb="FF000000"/>
      <name val="Arial"/>
      <family val="2"/>
      <charset val="186"/>
    </font>
    <font>
      <b/>
      <sz val="10"/>
      <color rgb="FFFF0000"/>
      <name val="Arial"/>
      <family val="2"/>
      <charset val="186"/>
    </font>
    <font>
      <b/>
      <sz val="10"/>
      <color rgb="FF000000"/>
      <name val="Arial"/>
      <family val="2"/>
      <charset val="186"/>
    </font>
    <font>
      <sz val="10"/>
      <color rgb="FF0000FF"/>
      <name val="Arial"/>
      <family val="2"/>
      <charset val="186"/>
    </font>
    <font>
      <sz val="10"/>
      <color rgb="FFFF0000"/>
      <name val="Arial"/>
      <family val="2"/>
      <charset val="186"/>
    </font>
    <font>
      <b/>
      <sz val="10"/>
      <color rgb="FFFF0000"/>
      <name val="Arial"/>
      <family val="2"/>
      <charset val="186"/>
    </font>
    <font>
      <b/>
      <sz val="10"/>
      <color rgb="FFFF0000"/>
      <name val="Arial"/>
      <family val="2"/>
      <charset val="186"/>
    </font>
    <font>
      <i/>
      <sz val="10"/>
      <color rgb="FF000000"/>
      <name val="Arial"/>
      <family val="2"/>
      <charset val="186"/>
    </font>
    <font>
      <b/>
      <sz val="12"/>
      <color rgb="FF000000"/>
      <name val="Arial"/>
      <family val="2"/>
      <charset val="186"/>
    </font>
    <font>
      <b/>
      <sz val="12"/>
      <color rgb="FF38761D"/>
      <name val="Arial"/>
      <family val="2"/>
      <charset val="186"/>
    </font>
    <font>
      <b/>
      <i/>
      <sz val="10"/>
      <color rgb="FFFF0000"/>
      <name val="Arial"/>
      <family val="2"/>
      <charset val="186"/>
    </font>
    <font>
      <b/>
      <sz val="10"/>
      <color rgb="FF38761D"/>
      <name val="Arial"/>
      <family val="2"/>
      <charset val="186"/>
    </font>
    <font>
      <b/>
      <i/>
      <sz val="10"/>
      <color rgb="FF000000"/>
      <name val="Arial"/>
      <family val="2"/>
      <charset val="186"/>
    </font>
    <font>
      <b/>
      <sz val="10"/>
      <color rgb="FF274E13"/>
      <name val="Arial"/>
      <family val="2"/>
      <charset val="186"/>
    </font>
    <font>
      <i/>
      <sz val="10"/>
      <color rgb="FF000000"/>
      <name val="Arial"/>
      <family val="2"/>
      <charset val="186"/>
    </font>
    <font>
      <sz val="10"/>
      <color rgb="FFFF0000"/>
      <name val="Calibri"/>
      <family val="2"/>
      <charset val="186"/>
      <scheme val="minor"/>
    </font>
    <font>
      <b/>
      <sz val="10"/>
      <color theme="2" tint="-0.749992370372631"/>
      <name val="Calibri"/>
      <family val="2"/>
      <charset val="186"/>
      <scheme val="minor"/>
    </font>
    <font>
      <sz val="10"/>
      <color theme="1"/>
      <name val="Calibri"/>
      <family val="2"/>
      <charset val="186"/>
      <scheme val="minor"/>
    </font>
    <font>
      <sz val="10"/>
      <color rgb="FFFF0000"/>
      <name val="Arial"/>
      <family val="2"/>
      <charset val="186"/>
    </font>
    <font>
      <b/>
      <sz val="10"/>
      <color rgb="FFFF0000"/>
      <name val="Arial"/>
      <family val="2"/>
      <charset val="186"/>
    </font>
    <font>
      <i/>
      <sz val="10"/>
      <color rgb="FFFF0000"/>
      <name val="Arial"/>
      <family val="2"/>
      <charset val="186"/>
    </font>
    <font>
      <b/>
      <i/>
      <sz val="10"/>
      <color rgb="FFFF0000"/>
      <name val="Arial"/>
      <family val="2"/>
      <charset val="186"/>
    </font>
    <font>
      <sz val="10"/>
      <color rgb="FF000000"/>
      <name val="Arial"/>
      <family val="2"/>
      <charset val="186"/>
    </font>
    <font>
      <b/>
      <sz val="10"/>
      <color rgb="FF000000"/>
      <name val="Arial"/>
      <family val="2"/>
      <charset val="186"/>
    </font>
    <font>
      <sz val="8"/>
      <color rgb="FF000000"/>
      <name val="Arial"/>
      <family val="2"/>
      <charset val="186"/>
    </font>
    <font>
      <b/>
      <sz val="8"/>
      <color rgb="FF000000"/>
      <name val="Arial"/>
      <family val="2"/>
      <charset val="186"/>
    </font>
    <font>
      <sz val="10"/>
      <color theme="2" tint="-0.249977111117893"/>
      <name val="Arial"/>
      <family val="2"/>
      <charset val="186"/>
    </font>
    <font>
      <b/>
      <sz val="10"/>
      <color theme="2" tint="-0.249977111117893"/>
      <name val="Arial"/>
      <family val="2"/>
      <charset val="186"/>
    </font>
    <font>
      <i/>
      <sz val="10"/>
      <color theme="2" tint="-0.249977111117893"/>
      <name val="Arial"/>
      <family val="2"/>
      <charset val="186"/>
    </font>
    <font>
      <sz val="12"/>
      <color rgb="FF000000"/>
      <name val="Times New Roman"/>
      <family val="1"/>
      <charset val="186"/>
    </font>
    <font>
      <sz val="10"/>
      <color theme="4" tint="-0.499984740745262"/>
      <name val="Arial"/>
      <family val="2"/>
      <charset val="186"/>
    </font>
    <font>
      <b/>
      <sz val="10"/>
      <color rgb="FF000000"/>
      <name val="Calibri"/>
      <family val="2"/>
      <charset val="186"/>
      <scheme val="minor"/>
    </font>
    <font>
      <sz val="10"/>
      <color rgb="FF000000"/>
      <name val="Calibri"/>
      <family val="2"/>
      <charset val="186"/>
      <scheme val="minor"/>
    </font>
    <font>
      <sz val="10"/>
      <color theme="2" tint="-0.499984740745262"/>
      <name val="Calibri"/>
      <family val="2"/>
      <charset val="186"/>
      <scheme val="minor"/>
    </font>
    <font>
      <sz val="10"/>
      <color rgb="FF6AA84F"/>
      <name val="Arial"/>
      <family val="2"/>
      <charset val="186"/>
    </font>
    <font>
      <b/>
      <sz val="10"/>
      <color theme="1"/>
      <name val="Calibri"/>
      <family val="2"/>
      <charset val="186"/>
      <scheme val="minor"/>
    </font>
    <font>
      <sz val="10"/>
      <name val="Arial"/>
      <family val="2"/>
      <charset val="186"/>
    </font>
    <font>
      <b/>
      <sz val="10"/>
      <name val="Arial"/>
      <family val="2"/>
      <charset val="186"/>
    </font>
    <font>
      <b/>
      <sz val="11"/>
      <color rgb="FF000000"/>
      <name val="Arial"/>
      <family val="2"/>
      <charset val="186"/>
    </font>
    <font>
      <b/>
      <sz val="12"/>
      <color theme="2" tint="-0.499984740745262"/>
      <name val="Arial"/>
      <family val="2"/>
      <charset val="186"/>
    </font>
    <font>
      <sz val="10"/>
      <color theme="2" tint="-0.499984740745262"/>
      <name val="Arial"/>
      <family val="2"/>
      <charset val="186"/>
    </font>
    <font>
      <i/>
      <sz val="10"/>
      <color theme="2" tint="-0.499984740745262"/>
      <name val="Arial"/>
      <family val="2"/>
      <charset val="186"/>
    </font>
    <font>
      <b/>
      <sz val="10"/>
      <color theme="2" tint="-0.499984740745262"/>
      <name val="Arial"/>
      <family val="2"/>
      <charset val="186"/>
    </font>
    <font>
      <sz val="9"/>
      <color indexed="81"/>
      <name val="Tahoma"/>
      <family val="2"/>
      <charset val="186"/>
    </font>
    <font>
      <b/>
      <sz val="9"/>
      <color indexed="81"/>
      <name val="Tahoma"/>
      <family val="2"/>
      <charset val="186"/>
    </font>
    <font>
      <b/>
      <sz val="14"/>
      <color rgb="FFFF0000"/>
      <name val="Arial"/>
      <family val="2"/>
      <charset val="186"/>
    </font>
    <font>
      <u/>
      <sz val="10"/>
      <color theme="10"/>
      <name val="Arial"/>
      <family val="2"/>
      <charset val="186"/>
    </font>
    <font>
      <u/>
      <sz val="10"/>
      <color theme="11"/>
      <name val="Arial"/>
      <family val="2"/>
      <charset val="186"/>
    </font>
    <font>
      <sz val="9"/>
      <color indexed="81"/>
      <name val="Arial"/>
      <family val="2"/>
      <charset val="186"/>
    </font>
    <font>
      <b/>
      <sz val="9"/>
      <color indexed="81"/>
      <name val="Arial"/>
      <family val="2"/>
      <charset val="186"/>
    </font>
    <font>
      <b/>
      <sz val="10"/>
      <color rgb="FF0000FF"/>
      <name val="Arial"/>
      <family val="2"/>
      <charset val="186"/>
    </font>
    <font>
      <strike/>
      <sz val="10"/>
      <color rgb="FF000000"/>
      <name val="Arial"/>
      <family val="2"/>
      <charset val="186"/>
    </font>
    <font>
      <b/>
      <i/>
      <sz val="10"/>
      <color rgb="FF0000FF"/>
      <name val="Arial"/>
      <family val="2"/>
      <charset val="186"/>
    </font>
    <font>
      <b/>
      <sz val="16"/>
      <color rgb="FFFF6600"/>
      <name val="Arial"/>
      <family val="2"/>
      <charset val="186"/>
    </font>
    <font>
      <b/>
      <sz val="10"/>
      <color rgb="FF008000"/>
      <name val="Arial"/>
      <family val="2"/>
      <charset val="186"/>
    </font>
    <font>
      <sz val="10"/>
      <color rgb="FF008000"/>
      <name val="Arial"/>
      <family val="2"/>
      <charset val="186"/>
    </font>
    <font>
      <b/>
      <i/>
      <sz val="10"/>
      <color rgb="FF008000"/>
      <name val="Arial"/>
      <family val="2"/>
      <charset val="186"/>
    </font>
    <font>
      <sz val="13"/>
      <color rgb="FF222222"/>
      <name val="Arial"/>
      <family val="2"/>
    </font>
    <font>
      <sz val="11"/>
      <color rgb="FF222222"/>
      <name val="Calibri"/>
      <family val="2"/>
    </font>
    <font>
      <b/>
      <sz val="11"/>
      <color rgb="FF222222"/>
      <name val="Calibri"/>
      <family val="2"/>
    </font>
    <font>
      <b/>
      <sz val="10"/>
      <color rgb="FF222222"/>
      <name val="Times New Roman"/>
      <family val="1"/>
      <charset val="186"/>
    </font>
    <font>
      <sz val="10"/>
      <color rgb="FF222222"/>
      <name val="Times New Roman"/>
      <family val="1"/>
      <charset val="186"/>
    </font>
    <font>
      <sz val="11"/>
      <color rgb="FF006100"/>
      <name val="Calibri"/>
      <family val="2"/>
    </font>
    <font>
      <b/>
      <sz val="11"/>
      <color rgb="FF006100"/>
      <name val="Calibri"/>
      <family val="2"/>
    </font>
    <font>
      <b/>
      <i/>
      <sz val="11"/>
      <color rgb="FF222222"/>
      <name val="Calibri"/>
      <family val="2"/>
    </font>
    <font>
      <i/>
      <sz val="11"/>
      <color rgb="FF006100"/>
      <name val="Calibri"/>
      <family val="2"/>
    </font>
    <font>
      <b/>
      <i/>
      <sz val="11"/>
      <color rgb="FF006100"/>
      <name val="Calibri"/>
      <family val="2"/>
    </font>
    <font>
      <sz val="10"/>
      <color rgb="FFD8D8D8"/>
      <name val="Times New Roman"/>
      <family val="1"/>
      <charset val="186"/>
    </font>
    <font>
      <b/>
      <sz val="10"/>
      <color rgb="FF008000"/>
      <name val="Times New Roman"/>
      <family val="1"/>
      <charset val="186"/>
    </font>
    <font>
      <b/>
      <sz val="10"/>
      <color theme="3"/>
      <name val="Arial"/>
      <family val="2"/>
      <charset val="186"/>
    </font>
    <font>
      <b/>
      <i/>
      <strike/>
      <sz val="10"/>
      <color rgb="FF008000"/>
      <name val="Arial"/>
      <family val="2"/>
      <charset val="186"/>
    </font>
    <font>
      <b/>
      <sz val="10"/>
      <color rgb="FF008000"/>
      <name val="Calibri"/>
      <family val="2"/>
      <charset val="186"/>
      <scheme val="minor"/>
    </font>
    <font>
      <b/>
      <sz val="10"/>
      <color rgb="FFFFFFFF"/>
      <name val="Arial"/>
      <family val="2"/>
      <charset val="186"/>
    </font>
    <font>
      <b/>
      <sz val="10"/>
      <color rgb="FF0F2B90"/>
      <name val="Arial"/>
      <family val="2"/>
      <charset val="186"/>
    </font>
    <font>
      <sz val="14"/>
      <color rgb="FFFF0000"/>
      <name val="Arial"/>
      <family val="2"/>
      <charset val="186"/>
    </font>
    <font>
      <b/>
      <sz val="12"/>
      <color rgb="FFFF0000"/>
      <name val="Arial"/>
      <family val="2"/>
      <charset val="186"/>
    </font>
    <font>
      <b/>
      <sz val="10"/>
      <color rgb="FFFF0000"/>
      <name val="Times New Roman"/>
      <family val="1"/>
      <charset val="186"/>
    </font>
    <font>
      <b/>
      <sz val="10"/>
      <color rgb="FFFF0000"/>
      <name val="MS Sans Serif"/>
      <family val="2"/>
      <charset val="186"/>
    </font>
    <font>
      <b/>
      <sz val="10"/>
      <name val="MS Sans Serif"/>
      <family val="2"/>
      <charset val="186"/>
    </font>
    <font>
      <b/>
      <sz val="11"/>
      <color rgb="FF000000"/>
      <name val="Calibri"/>
      <family val="2"/>
      <charset val="186"/>
    </font>
    <font>
      <sz val="11"/>
      <color rgb="FF006100"/>
      <name val="Calibri"/>
      <family val="2"/>
      <charset val="186"/>
      <scheme val="minor"/>
    </font>
    <font>
      <b/>
      <sz val="11"/>
      <name val="Calibri"/>
      <family val="2"/>
      <charset val="186"/>
    </font>
    <font>
      <sz val="10"/>
      <name val="MS Sans Serif"/>
      <family val="2"/>
      <charset val="186"/>
    </font>
    <font>
      <sz val="11"/>
      <color theme="1"/>
      <name val="Calibri"/>
      <family val="2"/>
      <charset val="186"/>
      <scheme val="minor"/>
    </font>
    <font>
      <sz val="11"/>
      <color rgb="FF000000"/>
      <name val="Calibri"/>
      <family val="2"/>
      <charset val="186"/>
    </font>
    <font>
      <b/>
      <i/>
      <sz val="11"/>
      <color rgb="FF000000"/>
      <name val="Calibri"/>
      <family val="2"/>
      <charset val="186"/>
    </font>
    <font>
      <sz val="10"/>
      <color theme="0" tint="-0.14999847407452621"/>
      <name val="MS Sans Serif"/>
      <family val="2"/>
      <charset val="186"/>
    </font>
    <font>
      <sz val="9"/>
      <color rgb="FF000000"/>
      <name val="Verdana"/>
      <family val="2"/>
      <charset val="186"/>
    </font>
    <font>
      <b/>
      <sz val="11"/>
      <color rgb="FF000000"/>
      <name val="Times New Roman"/>
      <family val="1"/>
      <charset val="186"/>
    </font>
    <font>
      <b/>
      <sz val="9"/>
      <color rgb="FF000000"/>
      <name val="Tahoma"/>
      <family val="2"/>
      <charset val="186"/>
    </font>
    <font>
      <sz val="9"/>
      <color rgb="FF000000"/>
      <name val="Tahoma"/>
      <family val="2"/>
      <charset val="186"/>
    </font>
    <font>
      <u/>
      <sz val="11"/>
      <color theme="10"/>
      <name val="Calibri"/>
      <family val="2"/>
    </font>
    <font>
      <sz val="11"/>
      <color theme="1"/>
      <name val="Calibri"/>
      <family val="2"/>
    </font>
    <font>
      <sz val="10"/>
      <color theme="0" tint="-0.499984740745262"/>
      <name val="Calibri"/>
      <family val="2"/>
      <charset val="186"/>
      <scheme val="minor"/>
    </font>
    <font>
      <b/>
      <sz val="11"/>
      <color rgb="FFC00000"/>
      <name val="Calibri"/>
      <family val="2"/>
      <charset val="186"/>
    </font>
    <font>
      <sz val="9"/>
      <color rgb="FF000000"/>
      <name val="Calibri"/>
      <family val="2"/>
      <charset val="186"/>
    </font>
    <font>
      <sz val="11"/>
      <color rgb="FF808080"/>
      <name val="Calibri"/>
      <family val="2"/>
      <charset val="186"/>
    </font>
    <font>
      <sz val="9"/>
      <color rgb="FFFF0000"/>
      <name val="Calibri"/>
      <family val="2"/>
      <charset val="186"/>
    </font>
    <font>
      <b/>
      <sz val="9"/>
      <name val="Calibri"/>
      <family val="2"/>
      <charset val="186"/>
    </font>
    <font>
      <b/>
      <sz val="10"/>
      <name val="Calibri"/>
      <family val="2"/>
      <charset val="186"/>
    </font>
    <font>
      <b/>
      <sz val="10"/>
      <color rgb="FF808080"/>
      <name val="Calibri"/>
      <family val="2"/>
      <charset val="186"/>
    </font>
    <font>
      <b/>
      <sz val="10"/>
      <color rgb="FF000000"/>
      <name val="Calibri"/>
      <family val="2"/>
      <charset val="186"/>
    </font>
    <font>
      <sz val="10"/>
      <color rgb="FF000000"/>
      <name val="Calibri"/>
      <family val="2"/>
      <charset val="186"/>
    </font>
    <font>
      <sz val="10"/>
      <color rgb="FF808080"/>
      <name val="Calibri"/>
      <family val="2"/>
      <charset val="186"/>
    </font>
    <font>
      <i/>
      <sz val="10"/>
      <color rgb="FF000000"/>
      <name val="Calibri"/>
      <family val="2"/>
      <charset val="186"/>
    </font>
    <font>
      <i/>
      <sz val="9"/>
      <color rgb="FF000000"/>
      <name val="Calibri"/>
      <family val="2"/>
      <charset val="186"/>
    </font>
    <font>
      <b/>
      <i/>
      <sz val="10"/>
      <color rgb="FF000000"/>
      <name val="Calibri"/>
      <family val="2"/>
      <charset val="186"/>
    </font>
    <font>
      <i/>
      <sz val="10"/>
      <color rgb="FF808080"/>
      <name val="Calibri"/>
      <family val="2"/>
      <charset val="186"/>
    </font>
    <font>
      <b/>
      <sz val="11"/>
      <color rgb="FFC00000"/>
      <name val="Calibri"/>
      <family val="2"/>
      <charset val="186"/>
      <scheme val="minor"/>
    </font>
    <font>
      <sz val="9"/>
      <color theme="1"/>
      <name val="Calibri"/>
      <family val="2"/>
      <charset val="186"/>
      <scheme val="minor"/>
    </font>
    <font>
      <sz val="11"/>
      <color theme="0" tint="-0.499984740745262"/>
      <name val="Calibri"/>
      <family val="2"/>
      <charset val="186"/>
      <scheme val="minor"/>
    </font>
    <font>
      <sz val="9"/>
      <color rgb="FFFF0000"/>
      <name val="Calibri"/>
      <family val="2"/>
      <charset val="186"/>
      <scheme val="minor"/>
    </font>
    <font>
      <b/>
      <sz val="9"/>
      <name val="Calibri"/>
      <family val="2"/>
      <charset val="186"/>
      <scheme val="minor"/>
    </font>
    <font>
      <b/>
      <sz val="10"/>
      <name val="Calibri"/>
      <family val="2"/>
      <charset val="186"/>
      <scheme val="minor"/>
    </font>
    <font>
      <b/>
      <sz val="10"/>
      <color theme="0" tint="-0.499984740745262"/>
      <name val="Calibri"/>
      <family val="2"/>
      <charset val="186"/>
      <scheme val="minor"/>
    </font>
    <font>
      <i/>
      <sz val="10"/>
      <color theme="1"/>
      <name val="Calibri"/>
      <family val="2"/>
      <charset val="186"/>
      <scheme val="minor"/>
    </font>
    <font>
      <i/>
      <sz val="9"/>
      <color theme="1"/>
      <name val="Calibri"/>
      <family val="2"/>
      <charset val="186"/>
      <scheme val="minor"/>
    </font>
    <font>
      <i/>
      <sz val="10"/>
      <color indexed="8"/>
      <name val="Calibri"/>
      <family val="2"/>
      <charset val="186"/>
      <scheme val="minor"/>
    </font>
    <font>
      <b/>
      <i/>
      <sz val="10"/>
      <color indexed="8"/>
      <name val="Calibri"/>
      <family val="2"/>
      <charset val="186"/>
      <scheme val="minor"/>
    </font>
    <font>
      <i/>
      <sz val="10"/>
      <color theme="0" tint="-0.499984740745262"/>
      <name val="Calibri"/>
      <family val="2"/>
      <charset val="186"/>
      <scheme val="minor"/>
    </font>
    <font>
      <b/>
      <sz val="10"/>
      <color rgb="FFFF0000"/>
      <name val="Calibri"/>
      <family val="2"/>
      <charset val="186"/>
    </font>
    <font>
      <b/>
      <sz val="9"/>
      <color rgb="FFFF0000"/>
      <name val="Calibri"/>
      <family val="2"/>
      <charset val="186"/>
    </font>
    <font>
      <sz val="10"/>
      <color theme="3"/>
      <name val="Calibri"/>
      <family val="2"/>
      <charset val="186"/>
    </font>
  </fonts>
  <fills count="92">
    <fill>
      <patternFill patternType="none"/>
    </fill>
    <fill>
      <patternFill patternType="gray125"/>
    </fill>
    <fill>
      <patternFill patternType="solid">
        <fgColor rgb="FFD9D2E9"/>
        <bgColor indexed="64"/>
      </patternFill>
    </fill>
    <fill>
      <patternFill patternType="solid">
        <fgColor rgb="FF00FFFF"/>
        <bgColor indexed="64"/>
      </patternFill>
    </fill>
    <fill>
      <patternFill patternType="solid">
        <fgColor rgb="FFF4CCCC"/>
        <bgColor indexed="64"/>
      </patternFill>
    </fill>
    <fill>
      <patternFill patternType="solid">
        <fgColor rgb="FFD9EAD3"/>
        <bgColor indexed="64"/>
      </patternFill>
    </fill>
    <fill>
      <patternFill patternType="solid">
        <fgColor rgb="FFFF0000"/>
        <bgColor indexed="64"/>
      </patternFill>
    </fill>
    <fill>
      <patternFill patternType="solid">
        <fgColor rgb="FFD9EAD3"/>
        <bgColor indexed="64"/>
      </patternFill>
    </fill>
    <fill>
      <patternFill patternType="solid">
        <fgColor rgb="FFEA9999"/>
        <bgColor indexed="64"/>
      </patternFill>
    </fill>
    <fill>
      <patternFill patternType="solid">
        <fgColor rgb="FFFFFFFF"/>
        <bgColor indexed="64"/>
      </patternFill>
    </fill>
    <fill>
      <patternFill patternType="solid">
        <fgColor rgb="FFFFF2CC"/>
        <bgColor indexed="64"/>
      </patternFill>
    </fill>
    <fill>
      <patternFill patternType="solid">
        <fgColor rgb="FF93C47D"/>
        <bgColor indexed="64"/>
      </patternFill>
    </fill>
    <fill>
      <patternFill patternType="solid">
        <fgColor rgb="FFD9D2E9"/>
        <bgColor indexed="64"/>
      </patternFill>
    </fill>
    <fill>
      <patternFill patternType="solid">
        <fgColor rgb="FFF4CCCC"/>
        <bgColor indexed="64"/>
      </patternFill>
    </fill>
    <fill>
      <patternFill patternType="solid">
        <fgColor rgb="FFFFF2CC"/>
        <bgColor indexed="64"/>
      </patternFill>
    </fill>
    <fill>
      <patternFill patternType="solid">
        <fgColor rgb="FFF9CB9C"/>
        <bgColor indexed="64"/>
      </patternFill>
    </fill>
    <fill>
      <patternFill patternType="solid">
        <fgColor rgb="FF76A5AF"/>
        <bgColor indexed="64"/>
      </patternFill>
    </fill>
    <fill>
      <patternFill patternType="solid">
        <fgColor rgb="FFFFFFFF"/>
        <bgColor indexed="64"/>
      </patternFill>
    </fill>
    <fill>
      <patternFill patternType="solid">
        <fgColor rgb="FF00FF00"/>
        <bgColor indexed="64"/>
      </patternFill>
    </fill>
    <fill>
      <patternFill patternType="solid">
        <fgColor rgb="FFFFF2CC"/>
        <bgColor indexed="64"/>
      </patternFill>
    </fill>
    <fill>
      <patternFill patternType="solid">
        <fgColor rgb="FFFFF2CC"/>
        <bgColor indexed="64"/>
      </patternFill>
    </fill>
    <fill>
      <patternFill patternType="solid">
        <fgColor rgb="FFEAD1DC"/>
        <bgColor indexed="64"/>
      </patternFill>
    </fill>
    <fill>
      <patternFill patternType="solid">
        <fgColor rgb="FFFFF2CC"/>
        <bgColor indexed="64"/>
      </patternFill>
    </fill>
    <fill>
      <patternFill patternType="solid">
        <fgColor rgb="FFFFF2CC"/>
        <bgColor indexed="64"/>
      </patternFill>
    </fill>
    <fill>
      <patternFill patternType="solid">
        <fgColor rgb="FFFFF2CC"/>
        <bgColor indexed="64"/>
      </patternFill>
    </fill>
    <fill>
      <patternFill patternType="solid">
        <fgColor rgb="FFEAD1DC"/>
        <bgColor indexed="64"/>
      </patternFill>
    </fill>
    <fill>
      <patternFill patternType="solid">
        <fgColor rgb="FFD9EAD3"/>
        <bgColor indexed="64"/>
      </patternFill>
    </fill>
    <fill>
      <patternFill patternType="solid">
        <fgColor rgb="FFFFF2CC"/>
        <bgColor indexed="64"/>
      </patternFill>
    </fill>
    <fill>
      <patternFill patternType="solid">
        <fgColor rgb="FFD9EAD3"/>
        <bgColor indexed="64"/>
      </patternFill>
    </fill>
    <fill>
      <patternFill patternType="solid">
        <fgColor rgb="FFEA9999"/>
        <bgColor indexed="64"/>
      </patternFill>
    </fill>
    <fill>
      <patternFill patternType="solid">
        <fgColor rgb="FF00FF00"/>
        <bgColor indexed="64"/>
      </patternFill>
    </fill>
    <fill>
      <patternFill patternType="solid">
        <fgColor rgb="FFD9EAD3"/>
        <bgColor indexed="64"/>
      </patternFill>
    </fill>
    <fill>
      <patternFill patternType="solid">
        <fgColor rgb="FFD9EAD3"/>
        <bgColor indexed="64"/>
      </patternFill>
    </fill>
    <fill>
      <patternFill patternType="solid">
        <fgColor rgb="FFD9D2E9"/>
        <bgColor indexed="64"/>
      </patternFill>
    </fill>
    <fill>
      <patternFill patternType="solid">
        <fgColor rgb="FF00FFFF"/>
        <bgColor indexed="64"/>
      </patternFill>
    </fill>
    <fill>
      <patternFill patternType="solid">
        <fgColor rgb="FFFFF2CC"/>
        <bgColor indexed="64"/>
      </patternFill>
    </fill>
    <fill>
      <patternFill patternType="solid">
        <fgColor rgb="FFFFF2CC"/>
        <bgColor indexed="64"/>
      </patternFill>
    </fill>
    <fill>
      <patternFill patternType="solid">
        <fgColor rgb="FFF9CB9C"/>
        <bgColor indexed="64"/>
      </patternFill>
    </fill>
    <fill>
      <patternFill patternType="solid">
        <fgColor rgb="FFFFF2CC"/>
        <bgColor indexed="64"/>
      </patternFill>
    </fill>
    <fill>
      <patternFill patternType="solid">
        <fgColor rgb="FF00FFFF"/>
        <bgColor indexed="64"/>
      </patternFill>
    </fill>
    <fill>
      <patternFill patternType="solid">
        <fgColor rgb="FFCFE2F3"/>
        <bgColor indexed="64"/>
      </patternFill>
    </fill>
    <fill>
      <patternFill patternType="solid">
        <fgColor rgb="FF76A5AF"/>
        <bgColor indexed="64"/>
      </patternFill>
    </fill>
    <fill>
      <patternFill patternType="solid">
        <fgColor rgb="FFFF0000"/>
        <bgColor indexed="64"/>
      </patternFill>
    </fill>
    <fill>
      <patternFill patternType="solid">
        <fgColor rgb="FF93C47D"/>
        <bgColor indexed="64"/>
      </patternFill>
    </fill>
    <fill>
      <patternFill patternType="solid">
        <fgColor rgb="FF00FFFF"/>
        <bgColor indexed="64"/>
      </patternFill>
    </fill>
    <fill>
      <patternFill patternType="solid">
        <fgColor rgb="FFFFF2CC"/>
        <bgColor indexed="64"/>
      </patternFill>
    </fill>
    <fill>
      <patternFill patternType="solid">
        <fgColor rgb="FFF4CCCC"/>
        <bgColor indexed="64"/>
      </patternFill>
    </fill>
    <fill>
      <patternFill patternType="solid">
        <fgColor rgb="FFFFFFFF"/>
        <bgColor indexed="64"/>
      </patternFill>
    </fill>
    <fill>
      <patternFill patternType="solid">
        <fgColor rgb="FFFFFFFF"/>
        <bgColor indexed="64"/>
      </patternFill>
    </fill>
    <fill>
      <patternFill patternType="solid">
        <fgColor rgb="FF93C47D"/>
        <bgColor indexed="64"/>
      </patternFill>
    </fill>
    <fill>
      <patternFill patternType="solid">
        <fgColor rgb="FFF4CCCC"/>
        <bgColor indexed="64"/>
      </patternFill>
    </fill>
    <fill>
      <patternFill patternType="solid">
        <fgColor rgb="FFD9EAD3"/>
        <bgColor indexed="64"/>
      </patternFill>
    </fill>
    <fill>
      <patternFill patternType="solid">
        <fgColor rgb="FFF4CCCC"/>
        <bgColor indexed="64"/>
      </patternFill>
    </fill>
    <fill>
      <patternFill patternType="solid">
        <fgColor rgb="FFD9EAD3"/>
        <bgColor indexed="64"/>
      </patternFill>
    </fill>
    <fill>
      <patternFill patternType="solid">
        <fgColor rgb="FFEAD1DC"/>
        <bgColor indexed="64"/>
      </patternFill>
    </fill>
    <fill>
      <patternFill patternType="solid">
        <fgColor rgb="FFCFE2F3"/>
        <bgColor indexed="64"/>
      </patternFill>
    </fill>
    <fill>
      <patternFill patternType="solid">
        <fgColor rgb="FFFFFF00"/>
        <bgColor indexed="64"/>
      </patternFill>
    </fill>
    <fill>
      <patternFill patternType="solid">
        <fgColor rgb="FFFFF2CC"/>
        <bgColor indexed="64"/>
      </patternFill>
    </fill>
    <fill>
      <patternFill patternType="solid">
        <fgColor rgb="FFD9EAD3"/>
        <bgColor indexed="64"/>
      </patternFill>
    </fill>
    <fill>
      <patternFill patternType="solid">
        <fgColor rgb="FF76A5AF"/>
        <bgColor indexed="64"/>
      </patternFill>
    </fill>
    <fill>
      <patternFill patternType="solid">
        <fgColor rgb="FFD9EAD3"/>
        <bgColor indexed="64"/>
      </patternFill>
    </fill>
    <fill>
      <patternFill patternType="solid">
        <fgColor rgb="FFEAD1DC"/>
        <bgColor indexed="64"/>
      </patternFill>
    </fill>
    <fill>
      <patternFill patternType="solid">
        <fgColor rgb="FFFFF2CC"/>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C6EFCE"/>
      </patternFill>
    </fill>
    <fill>
      <patternFill patternType="solid">
        <fgColor theme="6" tint="0.59999389629810485"/>
        <bgColor indexed="64"/>
      </patternFill>
    </fill>
    <fill>
      <patternFill patternType="solid">
        <fgColor rgb="FF71ABDD"/>
        <bgColor rgb="FF000000"/>
      </patternFill>
    </fill>
    <fill>
      <patternFill patternType="solid">
        <fgColor theme="6"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CE6F1"/>
        <bgColor rgb="FF000000"/>
      </patternFill>
    </fill>
    <fill>
      <patternFill patternType="solid">
        <fgColor rgb="FFC4D79B"/>
        <bgColor rgb="FF000000"/>
      </patternFill>
    </fill>
    <fill>
      <patternFill patternType="solid">
        <fgColor rgb="FFFFFFFF"/>
        <bgColor rgb="FF000000"/>
      </patternFill>
    </fill>
    <fill>
      <patternFill patternType="solid">
        <fgColor rgb="FFD8E4BC"/>
        <bgColor rgb="FF000000"/>
      </patternFill>
    </fill>
    <fill>
      <patternFill patternType="solid">
        <fgColor theme="0"/>
        <bgColor rgb="FF000000"/>
      </patternFill>
    </fill>
  </fills>
  <borders count="67">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0.249977111117893"/>
      </left>
      <right style="thin">
        <color theme="2" tint="-0.249977111117893"/>
      </right>
      <top style="thin">
        <color theme="2" tint="-0.249977111117893"/>
      </top>
      <bottom/>
      <diagonal/>
    </border>
    <border>
      <left/>
      <right style="thin">
        <color theme="2" tint="-0.249977111117893"/>
      </right>
      <top style="thin">
        <color theme="2" tint="-0.249977111117893"/>
      </top>
      <bottom style="thin">
        <color theme="2" tint="-0.249977111117893"/>
      </bottom>
      <diagonal/>
    </border>
    <border>
      <left/>
      <right style="thin">
        <color theme="2" tint="-0.499984740745262"/>
      </right>
      <top/>
      <bottom/>
      <diagonal/>
    </border>
    <border>
      <left/>
      <right style="thin">
        <color theme="2" tint="-0.249977111117893"/>
      </right>
      <top style="thin">
        <color theme="2" tint="-0.249977111117893"/>
      </top>
      <bottom/>
      <diagonal/>
    </border>
    <border>
      <left style="thin">
        <color theme="2" tint="-0.499984740745262"/>
      </left>
      <right style="thin">
        <color theme="2" tint="-0.249977111117893"/>
      </right>
      <top style="thin">
        <color theme="2" tint="-0.249977111117893"/>
      </top>
      <bottom style="thin">
        <color theme="2" tint="-0.249977111117893"/>
      </bottom>
      <diagonal/>
    </border>
    <border>
      <left style="thin">
        <color theme="2" tint="-0.499984740745262"/>
      </left>
      <right style="thin">
        <color theme="2" tint="-0.249977111117893"/>
      </right>
      <top style="thin">
        <color theme="2" tint="-0.249977111117893"/>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theme="2" tint="-0.249977111117893"/>
      </top>
      <bottom style="thin">
        <color theme="2" tint="-0.249977111117893"/>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style="thin">
        <color rgb="FFC4BD97"/>
      </right>
      <top style="medium">
        <color auto="1"/>
      </top>
      <bottom style="medium">
        <color auto="1"/>
      </bottom>
      <diagonal/>
    </border>
    <border>
      <left/>
      <right style="thin">
        <color rgb="FFC4BD97"/>
      </right>
      <top style="medium">
        <color auto="1"/>
      </top>
      <bottom style="medium">
        <color auto="1"/>
      </bottom>
      <diagonal/>
    </border>
    <border>
      <left/>
      <right style="thin">
        <color rgb="FFC4BD97"/>
      </right>
      <top style="thin">
        <color rgb="FFC4BD97"/>
      </top>
      <bottom style="thin">
        <color rgb="FFC4BD97"/>
      </bottom>
      <diagonal/>
    </border>
    <border>
      <left/>
      <right style="thin">
        <color rgb="FFC4BD97"/>
      </right>
      <top/>
      <bottom style="thin">
        <color rgb="FFC4BD97"/>
      </bottom>
      <diagonal/>
    </border>
    <border>
      <left/>
      <right style="thin">
        <color rgb="FFC4BD97"/>
      </right>
      <top/>
      <bottom/>
      <diagonal/>
    </border>
    <border>
      <left/>
      <right style="thin">
        <color rgb="FFC4BD97"/>
      </right>
      <top style="thin">
        <color rgb="FFC4BD97"/>
      </top>
      <bottom/>
      <diagonal/>
    </border>
    <border>
      <left style="medium">
        <color auto="1"/>
      </left>
      <right style="thin">
        <color theme="2" tint="-0.249977111117893"/>
      </right>
      <top style="medium">
        <color auto="1"/>
      </top>
      <bottom style="medium">
        <color auto="1"/>
      </bottom>
      <diagonal/>
    </border>
    <border>
      <left style="thin">
        <color theme="2" tint="-0.249977111117893"/>
      </left>
      <right style="thin">
        <color theme="2" tint="-0.249977111117893"/>
      </right>
      <top style="medium">
        <color auto="1"/>
      </top>
      <bottom style="medium">
        <color auto="1"/>
      </bottom>
      <diagonal/>
    </border>
    <border>
      <left/>
      <right style="thin">
        <color theme="2" tint="-0.249977111117893"/>
      </right>
      <top/>
      <bottom style="thin">
        <color theme="2" tint="-0.249977111117893"/>
      </bottom>
      <diagonal/>
    </border>
    <border>
      <left/>
      <right style="medium">
        <color rgb="FFC4BD97"/>
      </right>
      <top/>
      <bottom style="medium">
        <color rgb="FFC4BD97"/>
      </bottom>
      <diagonal/>
    </border>
    <border>
      <left style="thin">
        <color auto="1"/>
      </left>
      <right style="thin">
        <color auto="1"/>
      </right>
      <top style="thin">
        <color auto="1"/>
      </top>
      <bottom style="thin">
        <color rgb="FFC4BD97"/>
      </bottom>
      <diagonal/>
    </border>
    <border>
      <left style="thin">
        <color rgb="FFC4BD97"/>
      </left>
      <right style="thin">
        <color rgb="FFC4BD97"/>
      </right>
      <top style="thin">
        <color rgb="FFC4BD97"/>
      </top>
      <bottom style="thin">
        <color rgb="FFC4BD97"/>
      </bottom>
      <diagonal/>
    </border>
  </borders>
  <cellStyleXfs count="321">
    <xf numFmtId="0" fontId="0" fillId="0" borderId="0"/>
    <xf numFmtId="9" fontId="2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9" fillId="0" borderId="0"/>
    <xf numFmtId="0" fontId="103" fillId="76" borderId="0" applyNumberFormat="0" applyBorder="0" applyAlignment="0" applyProtection="0"/>
    <xf numFmtId="0" fontId="106" fillId="0" borderId="0"/>
    <xf numFmtId="173" fontId="59" fillId="84" borderId="0" applyNumberFormat="0" applyFont="0" applyBorder="0" applyAlignment="0" applyProtection="0"/>
    <xf numFmtId="173" fontId="106" fillId="0" borderId="0" applyFont="0" applyFill="0" applyBorder="0" applyAlignment="0" applyProtection="0"/>
    <xf numFmtId="173" fontId="106" fillId="0" borderId="0" applyFont="0" applyFill="0" applyBorder="0" applyAlignment="0" applyProtection="0"/>
    <xf numFmtId="0" fontId="114" fillId="0" borderId="0" applyNumberFormat="0" applyFill="0" applyBorder="0" applyAlignment="0" applyProtection="0">
      <alignment vertical="top"/>
      <protection locked="0"/>
    </xf>
    <xf numFmtId="0" fontId="59" fillId="42" borderId="0" applyNumberFormat="0" applyFont="0" applyBorder="0" applyAlignment="0" applyProtection="0">
      <alignment horizontal="center"/>
    </xf>
    <xf numFmtId="0" fontId="106" fillId="0" borderId="0"/>
    <xf numFmtId="0" fontId="59" fillId="0" borderId="0"/>
    <xf numFmtId="0" fontId="106" fillId="0" borderId="0" applyNumberFormat="0" applyFont="0" applyFill="0" applyBorder="0" applyProtection="0">
      <alignment vertical="center"/>
    </xf>
    <xf numFmtId="0" fontId="1" fillId="0" borderId="0"/>
    <xf numFmtId="0" fontId="59" fillId="0" borderId="0"/>
    <xf numFmtId="0" fontId="105" fillId="0" borderId="0"/>
    <xf numFmtId="0" fontId="59" fillId="63" borderId="0" applyNumberFormat="0" applyFont="0" applyBorder="0" applyAlignment="0" applyProtection="0"/>
    <xf numFmtId="0" fontId="59" fillId="0" borderId="0"/>
    <xf numFmtId="0" fontId="59" fillId="0" borderId="0"/>
    <xf numFmtId="0" fontId="115" fillId="0" borderId="0"/>
    <xf numFmtId="0" fontId="115" fillId="0" borderId="0"/>
    <xf numFmtId="0" fontId="59" fillId="0" borderId="0"/>
    <xf numFmtId="0" fontId="105" fillId="0" borderId="0"/>
    <xf numFmtId="0" fontId="59" fillId="0" borderId="0"/>
    <xf numFmtId="0" fontId="106" fillId="0" borderId="0"/>
    <xf numFmtId="9" fontId="59" fillId="0" borderId="0" applyFont="0" applyFill="0" applyBorder="0" applyAlignment="0" applyProtection="0"/>
    <xf numFmtId="9" fontId="1" fillId="0" borderId="0" applyFont="0" applyFill="0" applyBorder="0" applyAlignment="0" applyProtection="0"/>
    <xf numFmtId="9" fontId="105" fillId="0" borderId="0" applyFont="0" applyFill="0" applyBorder="0" applyAlignment="0" applyProtection="0"/>
    <xf numFmtId="9" fontId="59" fillId="0" borderId="0" applyFont="0" applyFill="0" applyBorder="0" applyAlignment="0" applyProtection="0"/>
    <xf numFmtId="9" fontId="106" fillId="0" borderId="0" applyFont="0" applyFill="0" applyBorder="0" applyAlignment="0" applyProtection="0"/>
    <xf numFmtId="0" fontId="59" fillId="0" borderId="0"/>
    <xf numFmtId="0" fontId="106" fillId="0" borderId="0"/>
    <xf numFmtId="0" fontId="106" fillId="0" borderId="0"/>
    <xf numFmtId="0" fontId="106" fillId="0" borderId="0"/>
    <xf numFmtId="174" fontId="59" fillId="56" borderId="0" applyNumberFormat="0" applyFont="0" applyBorder="0" applyAlignment="0" applyProtection="0"/>
    <xf numFmtId="174" fontId="59" fillId="80" borderId="0" applyNumberFormat="0" applyFont="0" applyBorder="0" applyAlignment="0" applyProtection="0"/>
    <xf numFmtId="174" fontId="59" fillId="56" borderId="0" applyNumberFormat="0" applyFont="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cellStyleXfs>
  <cellXfs count="978">
    <xf numFmtId="0" fontId="0" fillId="0" borderId="0" xfId="0" applyAlignment="1">
      <alignment wrapText="1"/>
    </xf>
    <xf numFmtId="0" fontId="0" fillId="0" borderId="1" xfId="0" applyBorder="1" applyAlignment="1">
      <alignment wrapText="1"/>
    </xf>
    <xf numFmtId="0" fontId="0" fillId="2" borderId="0" xfId="0" applyFill="1" applyAlignment="1">
      <alignment wrapText="1"/>
    </xf>
    <xf numFmtId="164" fontId="0" fillId="3" borderId="0" xfId="0" applyNumberFormat="1" applyFill="1" applyAlignment="1">
      <alignment wrapText="1"/>
    </xf>
    <xf numFmtId="164" fontId="2" fillId="4" borderId="0" xfId="0" applyNumberFormat="1" applyFont="1" applyFill="1" applyAlignment="1">
      <alignment wrapText="1"/>
    </xf>
    <xf numFmtId="3" fontId="3" fillId="5" borderId="0" xfId="0" applyNumberFormat="1" applyFont="1" applyFill="1" applyAlignment="1">
      <alignment wrapText="1"/>
    </xf>
    <xf numFmtId="0" fontId="5" fillId="0" borderId="0" xfId="0" applyFont="1" applyAlignment="1">
      <alignment wrapText="1"/>
    </xf>
    <xf numFmtId="3" fontId="0" fillId="6" borderId="0" xfId="0" applyNumberFormat="1" applyFill="1" applyAlignment="1">
      <alignment wrapText="1"/>
    </xf>
    <xf numFmtId="165" fontId="0" fillId="0" borderId="0" xfId="0" applyNumberFormat="1" applyAlignment="1">
      <alignment wrapText="1"/>
    </xf>
    <xf numFmtId="3" fontId="0" fillId="7" borderId="0" xfId="0" applyNumberFormat="1" applyFill="1" applyAlignment="1">
      <alignment wrapText="1"/>
    </xf>
    <xf numFmtId="0" fontId="0" fillId="8" borderId="0" xfId="0" applyFill="1" applyAlignment="1">
      <alignment wrapText="1"/>
    </xf>
    <xf numFmtId="0" fontId="0" fillId="0" borderId="2" xfId="0" applyBorder="1" applyAlignment="1">
      <alignment wrapText="1"/>
    </xf>
    <xf numFmtId="0" fontId="6" fillId="0" borderId="0" xfId="0" applyFont="1" applyAlignment="1">
      <alignment wrapText="1"/>
    </xf>
    <xf numFmtId="0" fontId="7" fillId="9" borderId="0" xfId="0" applyFont="1" applyFill="1" applyAlignment="1">
      <alignment wrapText="1"/>
    </xf>
    <xf numFmtId="3" fontId="0" fillId="10" borderId="0" xfId="0" applyNumberFormat="1" applyFill="1" applyAlignment="1">
      <alignment wrapText="1"/>
    </xf>
    <xf numFmtId="10" fontId="9" fillId="0" borderId="0" xfId="0" applyNumberFormat="1" applyFont="1" applyAlignment="1">
      <alignment wrapText="1"/>
    </xf>
    <xf numFmtId="4" fontId="0" fillId="0" borderId="0" xfId="0" applyNumberFormat="1" applyAlignment="1">
      <alignment wrapText="1"/>
    </xf>
    <xf numFmtId="165" fontId="10" fillId="0" borderId="0" xfId="0" applyNumberFormat="1" applyFont="1" applyAlignment="1">
      <alignment wrapText="1"/>
    </xf>
    <xf numFmtId="164" fontId="0" fillId="0" borderId="0" xfId="0" applyNumberFormat="1" applyAlignment="1">
      <alignment wrapText="1"/>
    </xf>
    <xf numFmtId="164" fontId="0" fillId="12" borderId="0" xfId="0" applyNumberFormat="1" applyFill="1" applyAlignment="1">
      <alignment wrapText="1"/>
    </xf>
    <xf numFmtId="0" fontId="0" fillId="13" borderId="0" xfId="0" applyFill="1" applyAlignment="1">
      <alignment wrapText="1"/>
    </xf>
    <xf numFmtId="0" fontId="11" fillId="0" borderId="4" xfId="0" applyFont="1" applyBorder="1" applyAlignment="1">
      <alignment wrapText="1"/>
    </xf>
    <xf numFmtId="0" fontId="0" fillId="14" borderId="0" xfId="0" applyFill="1" applyAlignment="1">
      <alignment horizontal="center" vertical="center" wrapText="1"/>
    </xf>
    <xf numFmtId="4" fontId="0" fillId="15" borderId="0" xfId="0" applyNumberFormat="1" applyFill="1" applyAlignment="1">
      <alignment wrapText="1"/>
    </xf>
    <xf numFmtId="0" fontId="13" fillId="16" borderId="0" xfId="0" applyFont="1" applyFill="1" applyAlignment="1">
      <alignment wrapText="1"/>
    </xf>
    <xf numFmtId="0" fontId="0" fillId="17" borderId="0" xfId="0" applyFill="1" applyAlignment="1">
      <alignment wrapText="1"/>
    </xf>
    <xf numFmtId="164" fontId="0" fillId="18" borderId="0" xfId="0" applyNumberFormat="1" applyFill="1" applyAlignment="1">
      <alignment wrapText="1"/>
    </xf>
    <xf numFmtId="0" fontId="0" fillId="0" borderId="7" xfId="0" applyBorder="1" applyAlignment="1">
      <alignment wrapText="1"/>
    </xf>
    <xf numFmtId="10" fontId="0" fillId="19" borderId="0" xfId="0" applyNumberFormat="1" applyFill="1" applyAlignment="1">
      <alignment wrapText="1"/>
    </xf>
    <xf numFmtId="0" fontId="0" fillId="20" borderId="8" xfId="0" applyFill="1" applyBorder="1" applyAlignment="1">
      <alignment wrapText="1"/>
    </xf>
    <xf numFmtId="0" fontId="14" fillId="0" borderId="0" xfId="0" applyFont="1" applyAlignment="1">
      <alignment wrapText="1"/>
    </xf>
    <xf numFmtId="0" fontId="15" fillId="0" borderId="0" xfId="0" applyFont="1" applyAlignment="1">
      <alignment wrapText="1"/>
    </xf>
    <xf numFmtId="0" fontId="16" fillId="21" borderId="0" xfId="0" applyFont="1" applyFill="1" applyAlignment="1">
      <alignment wrapText="1"/>
    </xf>
    <xf numFmtId="0" fontId="0" fillId="22" borderId="9" xfId="0" applyFill="1" applyBorder="1" applyAlignment="1">
      <alignment wrapText="1"/>
    </xf>
    <xf numFmtId="0" fontId="0" fillId="23" borderId="10" xfId="0" applyFill="1" applyBorder="1" applyAlignment="1">
      <alignment wrapText="1"/>
    </xf>
    <xf numFmtId="0" fontId="0" fillId="24" borderId="11" xfId="0" applyFill="1" applyBorder="1" applyAlignment="1">
      <alignment horizontal="center" wrapText="1"/>
    </xf>
    <xf numFmtId="0" fontId="0" fillId="25" borderId="0" xfId="0" applyFill="1" applyAlignment="1">
      <alignment wrapText="1"/>
    </xf>
    <xf numFmtId="4" fontId="0" fillId="26" borderId="0" xfId="0" applyNumberFormat="1" applyFill="1" applyAlignment="1">
      <alignment wrapText="1"/>
    </xf>
    <xf numFmtId="0" fontId="0" fillId="0" borderId="12" xfId="0" applyBorder="1" applyAlignment="1">
      <alignment wrapText="1"/>
    </xf>
    <xf numFmtId="0" fontId="0" fillId="27" borderId="13" xfId="0" applyFill="1" applyBorder="1" applyAlignment="1">
      <alignment wrapText="1"/>
    </xf>
    <xf numFmtId="0" fontId="18" fillId="28" borderId="0" xfId="0" applyFont="1" applyFill="1" applyAlignment="1">
      <alignment wrapText="1"/>
    </xf>
    <xf numFmtId="164" fontId="0" fillId="29" borderId="0" xfId="0" applyNumberFormat="1" applyFill="1" applyAlignment="1">
      <alignment wrapText="1"/>
    </xf>
    <xf numFmtId="0" fontId="0" fillId="30" borderId="0" xfId="0" applyFill="1" applyAlignment="1">
      <alignment wrapText="1"/>
    </xf>
    <xf numFmtId="0" fontId="0" fillId="0" borderId="14" xfId="0" applyBorder="1" applyAlignment="1">
      <alignment wrapText="1"/>
    </xf>
    <xf numFmtId="3" fontId="0" fillId="0" borderId="16" xfId="0" applyNumberFormat="1" applyBorder="1" applyAlignment="1">
      <alignment wrapText="1"/>
    </xf>
    <xf numFmtId="3" fontId="19" fillId="0" borderId="0" xfId="0" applyNumberFormat="1" applyFont="1" applyAlignment="1">
      <alignment wrapText="1"/>
    </xf>
    <xf numFmtId="166" fontId="0" fillId="0" borderId="18" xfId="0" applyNumberFormat="1" applyBorder="1" applyAlignment="1">
      <alignment wrapText="1"/>
    </xf>
    <xf numFmtId="164" fontId="20" fillId="33" borderId="0" xfId="0" applyNumberFormat="1" applyFont="1" applyFill="1" applyAlignment="1">
      <alignment wrapText="1"/>
    </xf>
    <xf numFmtId="0" fontId="0" fillId="0" borderId="19" xfId="0" applyBorder="1" applyAlignment="1">
      <alignment wrapText="1"/>
    </xf>
    <xf numFmtId="0" fontId="0" fillId="0" borderId="20" xfId="0" applyBorder="1" applyAlignment="1">
      <alignment wrapText="1"/>
    </xf>
    <xf numFmtId="0" fontId="0" fillId="34" borderId="0" xfId="0" applyFill="1" applyAlignment="1">
      <alignment wrapText="1"/>
    </xf>
    <xf numFmtId="0" fontId="0" fillId="35" borderId="21" xfId="0" applyFill="1" applyBorder="1" applyAlignment="1">
      <alignment wrapText="1"/>
    </xf>
    <xf numFmtId="3" fontId="0" fillId="36" borderId="22" xfId="0" applyNumberFormat="1" applyFill="1" applyBorder="1" applyAlignment="1">
      <alignment wrapText="1"/>
    </xf>
    <xf numFmtId="0" fontId="21" fillId="0" borderId="0" xfId="0" applyFont="1" applyAlignment="1">
      <alignment wrapText="1"/>
    </xf>
    <xf numFmtId="0" fontId="0" fillId="37" borderId="0" xfId="0" applyFill="1" applyAlignment="1">
      <alignment wrapText="1"/>
    </xf>
    <xf numFmtId="0" fontId="23" fillId="38" borderId="23" xfId="0" applyFont="1" applyFill="1" applyBorder="1" applyAlignment="1">
      <alignment horizontal="center" wrapText="1"/>
    </xf>
    <xf numFmtId="0" fontId="0" fillId="0" borderId="24" xfId="0" applyBorder="1" applyAlignment="1">
      <alignment wrapText="1"/>
    </xf>
    <xf numFmtId="3" fontId="0" fillId="39" borderId="0" xfId="0" applyNumberFormat="1" applyFill="1" applyAlignment="1">
      <alignment wrapText="1"/>
    </xf>
    <xf numFmtId="164" fontId="0" fillId="40" borderId="0" xfId="0" applyNumberFormat="1" applyFill="1" applyAlignment="1">
      <alignment wrapText="1"/>
    </xf>
    <xf numFmtId="167" fontId="0" fillId="0" borderId="0" xfId="0" applyNumberFormat="1" applyAlignment="1">
      <alignment wrapText="1"/>
    </xf>
    <xf numFmtId="3" fontId="24" fillId="0" borderId="0" xfId="0" applyNumberFormat="1" applyFont="1" applyAlignment="1">
      <alignment wrapText="1"/>
    </xf>
    <xf numFmtId="164" fontId="0" fillId="41" borderId="0" xfId="0" applyNumberFormat="1" applyFill="1" applyAlignment="1">
      <alignment wrapText="1"/>
    </xf>
    <xf numFmtId="0" fontId="0" fillId="42" borderId="25" xfId="0" applyFill="1" applyBorder="1" applyAlignment="1">
      <alignment wrapText="1"/>
    </xf>
    <xf numFmtId="0" fontId="25" fillId="44" borderId="0" xfId="0" applyFont="1" applyFill="1" applyAlignment="1">
      <alignment wrapText="1"/>
    </xf>
    <xf numFmtId="0" fontId="26" fillId="45" borderId="27" xfId="0" applyFont="1" applyFill="1" applyBorder="1" applyAlignment="1">
      <alignment wrapText="1"/>
    </xf>
    <xf numFmtId="0" fontId="27" fillId="0" borderId="0" xfId="0" applyFont="1" applyAlignment="1">
      <alignment wrapText="1"/>
    </xf>
    <xf numFmtId="3" fontId="0" fillId="0" borderId="28" xfId="0" applyNumberFormat="1" applyBorder="1" applyAlignment="1">
      <alignment wrapText="1"/>
    </xf>
    <xf numFmtId="10" fontId="0" fillId="0" borderId="0" xfId="0" applyNumberFormat="1" applyAlignment="1">
      <alignment wrapText="1"/>
    </xf>
    <xf numFmtId="164" fontId="0" fillId="46" borderId="0" xfId="0" applyNumberFormat="1" applyFill="1" applyAlignment="1">
      <alignment wrapText="1"/>
    </xf>
    <xf numFmtId="3" fontId="0" fillId="47" borderId="0" xfId="0" applyNumberFormat="1" applyFill="1" applyAlignment="1">
      <alignment wrapText="1"/>
    </xf>
    <xf numFmtId="164" fontId="0" fillId="48" borderId="0" xfId="0" applyNumberFormat="1" applyFill="1" applyAlignment="1">
      <alignment wrapText="1"/>
    </xf>
    <xf numFmtId="3" fontId="0" fillId="50" borderId="0" xfId="0" applyNumberFormat="1" applyFill="1" applyAlignment="1">
      <alignment wrapText="1"/>
    </xf>
    <xf numFmtId="164" fontId="0" fillId="51" borderId="0" xfId="0" applyNumberFormat="1" applyFill="1" applyAlignment="1">
      <alignment wrapText="1"/>
    </xf>
    <xf numFmtId="0" fontId="30" fillId="52" borderId="0" xfId="0" applyFont="1" applyFill="1" applyAlignment="1">
      <alignment wrapText="1"/>
    </xf>
    <xf numFmtId="0" fontId="0" fillId="53" borderId="0" xfId="0" applyFill="1" applyAlignment="1">
      <alignment wrapText="1"/>
    </xf>
    <xf numFmtId="0" fontId="31" fillId="0" borderId="0" xfId="0" applyFont="1" applyAlignment="1">
      <alignment wrapText="1"/>
    </xf>
    <xf numFmtId="168" fontId="0" fillId="54" borderId="0" xfId="0" applyNumberFormat="1" applyFill="1" applyAlignment="1">
      <alignment wrapText="1"/>
    </xf>
    <xf numFmtId="0" fontId="0" fillId="55" borderId="0" xfId="0" applyFill="1" applyAlignment="1">
      <alignment wrapText="1"/>
    </xf>
    <xf numFmtId="168" fontId="0" fillId="0" borderId="0" xfId="0" applyNumberFormat="1" applyAlignment="1">
      <alignment wrapText="1"/>
    </xf>
    <xf numFmtId="0" fontId="0" fillId="0" borderId="32" xfId="0" applyBorder="1" applyAlignment="1">
      <alignment wrapText="1"/>
    </xf>
    <xf numFmtId="0" fontId="0" fillId="57" borderId="0" xfId="0" applyFill="1" applyAlignment="1">
      <alignment wrapText="1"/>
    </xf>
    <xf numFmtId="0" fontId="34" fillId="58" borderId="0" xfId="0" applyFont="1" applyFill="1" applyAlignment="1">
      <alignment wrapText="1"/>
    </xf>
    <xf numFmtId="0" fontId="0" fillId="59" borderId="0" xfId="0" applyFill="1" applyAlignment="1">
      <alignment wrapText="1"/>
    </xf>
    <xf numFmtId="164" fontId="35" fillId="0" borderId="0" xfId="0" applyNumberFormat="1" applyFont="1" applyAlignment="1">
      <alignment wrapText="1"/>
    </xf>
    <xf numFmtId="3" fontId="0" fillId="0" borderId="0" xfId="0" applyNumberFormat="1" applyAlignment="1">
      <alignment wrapText="1"/>
    </xf>
    <xf numFmtId="0" fontId="36" fillId="0" borderId="0" xfId="0" applyFont="1" applyAlignment="1">
      <alignment wrapText="1"/>
    </xf>
    <xf numFmtId="3" fontId="0" fillId="61" borderId="0" xfId="0" applyNumberFormat="1" applyFill="1" applyAlignment="1">
      <alignment wrapText="1"/>
    </xf>
    <xf numFmtId="0" fontId="0" fillId="0" borderId="14" xfId="0" applyBorder="1" applyAlignment="1"/>
    <xf numFmtId="0" fontId="0" fillId="0" borderId="0" xfId="0" applyAlignment="1"/>
    <xf numFmtId="0" fontId="38" fillId="63" borderId="0" xfId="0" applyFont="1" applyFill="1" applyBorder="1"/>
    <xf numFmtId="0" fontId="39" fillId="63" borderId="35" xfId="0" applyFont="1" applyFill="1" applyBorder="1"/>
    <xf numFmtId="169" fontId="40" fillId="63" borderId="36" xfId="0" applyNumberFormat="1" applyFont="1" applyFill="1" applyBorder="1" applyAlignment="1">
      <alignment horizontal="left"/>
    </xf>
    <xf numFmtId="169" fontId="40" fillId="63" borderId="36" xfId="0" applyNumberFormat="1" applyFont="1" applyFill="1" applyBorder="1"/>
    <xf numFmtId="169" fontId="40" fillId="63" borderId="36" xfId="0" applyNumberFormat="1" applyFont="1" applyFill="1" applyBorder="1" applyAlignment="1">
      <alignment horizontal="left" indent="1"/>
    </xf>
    <xf numFmtId="0" fontId="0" fillId="64" borderId="0" xfId="0" applyFill="1" applyAlignment="1">
      <alignment wrapText="1"/>
    </xf>
    <xf numFmtId="0" fontId="0" fillId="65" borderId="0" xfId="0" applyFill="1" applyAlignment="1">
      <alignment wrapText="1"/>
    </xf>
    <xf numFmtId="164" fontId="0" fillId="65" borderId="0" xfId="0" applyNumberFormat="1" applyFill="1" applyAlignment="1">
      <alignment wrapText="1"/>
    </xf>
    <xf numFmtId="0" fontId="0" fillId="63" borderId="0" xfId="0" applyFill="1" applyAlignment="1">
      <alignment wrapText="1"/>
    </xf>
    <xf numFmtId="0" fontId="41" fillId="63" borderId="0" xfId="0" applyFont="1" applyFill="1" applyAlignment="1">
      <alignment wrapText="1"/>
    </xf>
    <xf numFmtId="0" fontId="32" fillId="63" borderId="0" xfId="0" applyFont="1" applyFill="1" applyAlignment="1"/>
    <xf numFmtId="0" fontId="22" fillId="63" borderId="0" xfId="0" applyFont="1" applyFill="1" applyAlignment="1"/>
    <xf numFmtId="0" fontId="18" fillId="63" borderId="0" xfId="0" applyFont="1" applyFill="1" applyAlignment="1">
      <alignment wrapText="1"/>
    </xf>
    <xf numFmtId="0" fontId="42" fillId="63" borderId="0" xfId="0" applyFont="1" applyFill="1" applyAlignment="1">
      <alignment wrapText="1"/>
    </xf>
    <xf numFmtId="0" fontId="33" fillId="63" borderId="0" xfId="0" applyFont="1" applyFill="1" applyAlignment="1">
      <alignment wrapText="1"/>
    </xf>
    <xf numFmtId="0" fontId="16" fillId="63" borderId="0" xfId="0" applyFont="1" applyFill="1" applyAlignment="1">
      <alignment wrapText="1"/>
    </xf>
    <xf numFmtId="0" fontId="43" fillId="63" borderId="0" xfId="0" applyFont="1" applyFill="1" applyAlignment="1">
      <alignment wrapText="1"/>
    </xf>
    <xf numFmtId="0" fontId="25" fillId="63" borderId="0" xfId="0" applyFont="1" applyFill="1" applyAlignment="1">
      <alignment wrapText="1"/>
    </xf>
    <xf numFmtId="164" fontId="0" fillId="63" borderId="0" xfId="0" applyNumberFormat="1" applyFill="1" applyAlignment="1">
      <alignment wrapText="1"/>
    </xf>
    <xf numFmtId="164" fontId="41" fillId="63" borderId="0" xfId="0" applyNumberFormat="1" applyFont="1" applyFill="1" applyAlignment="1">
      <alignment wrapText="1"/>
    </xf>
    <xf numFmtId="0" fontId="30" fillId="63" borderId="0" xfId="0" applyFont="1" applyFill="1" applyAlignment="1">
      <alignment wrapText="1"/>
    </xf>
    <xf numFmtId="164" fontId="2" fillId="63" borderId="0" xfId="0" applyNumberFormat="1" applyFont="1" applyFill="1" applyAlignment="1">
      <alignment wrapText="1"/>
    </xf>
    <xf numFmtId="164" fontId="43" fillId="63" borderId="0" xfId="0" applyNumberFormat="1" applyFont="1" applyFill="1" applyAlignment="1">
      <alignment wrapText="1"/>
    </xf>
    <xf numFmtId="3" fontId="0" fillId="63" borderId="0" xfId="0" applyNumberFormat="1" applyFill="1" applyAlignment="1">
      <alignment wrapText="1"/>
    </xf>
    <xf numFmtId="3" fontId="41" fillId="63" borderId="0" xfId="0" applyNumberFormat="1" applyFont="1" applyFill="1" applyAlignment="1">
      <alignment wrapText="1"/>
    </xf>
    <xf numFmtId="0" fontId="7" fillId="63" borderId="0" xfId="0" applyFont="1" applyFill="1" applyAlignment="1">
      <alignment wrapText="1"/>
    </xf>
    <xf numFmtId="4" fontId="0" fillId="63" borderId="0" xfId="0" applyNumberFormat="1" applyFill="1" applyAlignment="1">
      <alignment wrapText="1"/>
    </xf>
    <xf numFmtId="10" fontId="0" fillId="63" borderId="0" xfId="0" applyNumberFormat="1" applyFill="1" applyAlignment="1">
      <alignment wrapText="1"/>
    </xf>
    <xf numFmtId="10" fontId="41" fillId="63" borderId="0" xfId="0" applyNumberFormat="1" applyFont="1" applyFill="1" applyAlignment="1">
      <alignment wrapText="1"/>
    </xf>
    <xf numFmtId="164" fontId="20" fillId="63" borderId="0" xfId="0" applyNumberFormat="1" applyFont="1" applyFill="1" applyAlignment="1">
      <alignment wrapText="1"/>
    </xf>
    <xf numFmtId="0" fontId="21" fillId="63" borderId="0" xfId="0" applyFont="1" applyFill="1" applyAlignment="1">
      <alignment wrapText="1"/>
    </xf>
    <xf numFmtId="0" fontId="15" fillId="63" borderId="0" xfId="0" applyFont="1" applyFill="1" applyAlignment="1">
      <alignment wrapText="1"/>
    </xf>
    <xf numFmtId="164" fontId="35" fillId="63" borderId="0" xfId="0" applyNumberFormat="1" applyFont="1" applyFill="1" applyAlignment="1">
      <alignment wrapText="1"/>
    </xf>
    <xf numFmtId="4" fontId="12" fillId="63" borderId="0" xfId="0" applyNumberFormat="1" applyFont="1" applyFill="1" applyAlignment="1">
      <alignment wrapText="1"/>
    </xf>
    <xf numFmtId="164" fontId="44" fillId="63" borderId="0" xfId="0" applyNumberFormat="1" applyFont="1" applyFill="1" applyAlignment="1">
      <alignment wrapText="1"/>
    </xf>
    <xf numFmtId="4" fontId="28" fillId="63" borderId="0" xfId="0" applyNumberFormat="1" applyFont="1" applyFill="1" applyAlignment="1">
      <alignment wrapText="1"/>
    </xf>
    <xf numFmtId="164" fontId="29" fillId="63" borderId="0" xfId="0" applyNumberFormat="1" applyFont="1" applyFill="1" applyAlignment="1">
      <alignment wrapText="1"/>
    </xf>
    <xf numFmtId="164" fontId="42" fillId="63" borderId="0" xfId="0" applyNumberFormat="1" applyFont="1" applyFill="1" applyAlignment="1">
      <alignment wrapText="1"/>
    </xf>
    <xf numFmtId="10" fontId="17" fillId="63" borderId="0" xfId="0" applyNumberFormat="1" applyFont="1" applyFill="1" applyAlignment="1">
      <alignment wrapText="1"/>
    </xf>
    <xf numFmtId="168" fontId="0" fillId="63" borderId="0" xfId="0" applyNumberFormat="1" applyFill="1" applyAlignment="1">
      <alignment wrapText="1"/>
    </xf>
    <xf numFmtId="168" fontId="41" fillId="63" borderId="0" xfId="0" applyNumberFormat="1" applyFont="1" applyFill="1" applyAlignment="1">
      <alignment wrapText="1"/>
    </xf>
    <xf numFmtId="0" fontId="14" fillId="63" borderId="0" xfId="0" applyFont="1" applyFill="1" applyAlignment="1">
      <alignment wrapText="1"/>
    </xf>
    <xf numFmtId="0" fontId="41" fillId="63" borderId="0" xfId="0" applyFont="1" applyFill="1" applyBorder="1" applyAlignment="1">
      <alignment wrapText="1"/>
    </xf>
    <xf numFmtId="3" fontId="41" fillId="63" borderId="0" xfId="0" applyNumberFormat="1" applyFont="1" applyFill="1" applyBorder="1" applyAlignment="1">
      <alignment wrapText="1"/>
    </xf>
    <xf numFmtId="3" fontId="37" fillId="63" borderId="0" xfId="0" applyNumberFormat="1" applyFont="1" applyFill="1" applyAlignment="1">
      <alignment wrapText="1"/>
    </xf>
    <xf numFmtId="4" fontId="41" fillId="63" borderId="0" xfId="0" applyNumberFormat="1" applyFont="1" applyFill="1" applyAlignment="1">
      <alignment wrapText="1"/>
    </xf>
    <xf numFmtId="164" fontId="0" fillId="63" borderId="5" xfId="0" applyNumberFormat="1" applyFill="1" applyBorder="1" applyAlignment="1">
      <alignment wrapText="1"/>
    </xf>
    <xf numFmtId="164" fontId="41" fillId="63" borderId="0" xfId="0" applyNumberFormat="1" applyFont="1" applyFill="1" applyBorder="1" applyAlignment="1">
      <alignment wrapText="1"/>
    </xf>
    <xf numFmtId="0" fontId="0" fillId="63" borderId="6" xfId="0" applyFill="1" applyBorder="1" applyAlignment="1">
      <alignment wrapText="1"/>
    </xf>
    <xf numFmtId="165" fontId="0" fillId="63" borderId="0" xfId="0" applyNumberFormat="1" applyFill="1" applyAlignment="1">
      <alignment wrapText="1"/>
    </xf>
    <xf numFmtId="0" fontId="5" fillId="63" borderId="0" xfId="0" applyFont="1" applyFill="1" applyAlignment="1">
      <alignment wrapText="1"/>
    </xf>
    <xf numFmtId="0" fontId="34" fillId="63" borderId="0" xfId="0" applyFont="1" applyFill="1" applyAlignment="1">
      <alignment wrapText="1"/>
    </xf>
    <xf numFmtId="3" fontId="3" fillId="63" borderId="0" xfId="0" applyNumberFormat="1" applyFont="1" applyFill="1" applyAlignment="1">
      <alignment wrapText="1"/>
    </xf>
    <xf numFmtId="3" fontId="42" fillId="63" borderId="0" xfId="0" applyNumberFormat="1" applyFont="1" applyFill="1" applyAlignment="1">
      <alignment wrapText="1"/>
    </xf>
    <xf numFmtId="0" fontId="0" fillId="63" borderId="0" xfId="0" applyFill="1" applyBorder="1" applyAlignment="1">
      <alignment wrapText="1"/>
    </xf>
    <xf numFmtId="3" fontId="0" fillId="63" borderId="0" xfId="0" applyNumberFormat="1" applyFill="1" applyBorder="1" applyAlignment="1">
      <alignment wrapText="1"/>
    </xf>
    <xf numFmtId="164" fontId="0" fillId="63" borderId="0" xfId="0" applyNumberFormat="1" applyFill="1" applyBorder="1" applyAlignment="1">
      <alignment wrapText="1"/>
    </xf>
    <xf numFmtId="0" fontId="47" fillId="11" borderId="3" xfId="0" applyFont="1" applyFill="1" applyBorder="1" applyAlignment="1">
      <alignment wrapText="1"/>
    </xf>
    <xf numFmtId="0" fontId="48" fillId="49" borderId="30" xfId="0" applyFont="1" applyFill="1" applyBorder="1" applyAlignment="1">
      <alignment horizontal="center" wrapText="1"/>
    </xf>
    <xf numFmtId="0" fontId="48" fillId="43" borderId="26" xfId="0" applyFont="1" applyFill="1" applyBorder="1" applyAlignment="1">
      <alignment horizontal="center" vertical="center" wrapText="1"/>
    </xf>
    <xf numFmtId="0" fontId="48" fillId="60" borderId="33" xfId="0" applyFont="1" applyFill="1" applyBorder="1" applyAlignment="1">
      <alignment vertical="center" wrapText="1"/>
    </xf>
    <xf numFmtId="0" fontId="47" fillId="31" borderId="15" xfId="0" applyFont="1" applyFill="1" applyBorder="1" applyAlignment="1">
      <alignment horizontal="center" vertical="center" wrapText="1"/>
    </xf>
    <xf numFmtId="0" fontId="48" fillId="32" borderId="17" xfId="0" applyFont="1" applyFill="1" applyBorder="1" applyAlignment="1">
      <alignment horizontal="center" vertical="center" wrapText="1"/>
    </xf>
    <xf numFmtId="170" fontId="0" fillId="63" borderId="0" xfId="0" applyNumberFormat="1" applyFill="1" applyAlignment="1">
      <alignment wrapText="1"/>
    </xf>
    <xf numFmtId="0" fontId="45" fillId="63" borderId="0" xfId="0" applyFont="1" applyFill="1" applyAlignment="1">
      <alignment wrapText="1"/>
    </xf>
    <xf numFmtId="0" fontId="46" fillId="63" borderId="0" xfId="0" applyFont="1" applyFill="1" applyAlignment="1">
      <alignment wrapText="1"/>
    </xf>
    <xf numFmtId="0" fontId="49" fillId="63" borderId="0" xfId="0" applyFont="1" applyFill="1" applyAlignment="1">
      <alignment wrapText="1"/>
    </xf>
    <xf numFmtId="164" fontId="49" fillId="63" borderId="0" xfId="0" applyNumberFormat="1" applyFont="1" applyFill="1" applyAlignment="1">
      <alignment wrapText="1"/>
    </xf>
    <xf numFmtId="4" fontId="0" fillId="65" borderId="0" xfId="0" applyNumberFormat="1" applyFill="1" applyAlignment="1">
      <alignment wrapText="1"/>
    </xf>
    <xf numFmtId="1" fontId="0" fillId="65" borderId="0" xfId="0" applyNumberFormat="1" applyFill="1" applyAlignment="1">
      <alignment wrapText="1"/>
    </xf>
    <xf numFmtId="164" fontId="45" fillId="63" borderId="0" xfId="0" applyNumberFormat="1" applyFont="1" applyFill="1" applyAlignment="1">
      <alignment wrapText="1"/>
    </xf>
    <xf numFmtId="164" fontId="46" fillId="63" borderId="0" xfId="0" applyNumberFormat="1" applyFont="1" applyFill="1" applyAlignment="1">
      <alignment wrapText="1"/>
    </xf>
    <xf numFmtId="168" fontId="0" fillId="65" borderId="0" xfId="0" applyNumberFormat="1" applyFill="1" applyAlignment="1">
      <alignment wrapText="1"/>
    </xf>
    <xf numFmtId="3" fontId="45" fillId="63" borderId="0" xfId="0" applyNumberFormat="1" applyFont="1" applyFill="1" applyAlignment="1">
      <alignment wrapText="1"/>
    </xf>
    <xf numFmtId="0" fontId="0" fillId="65" borderId="0" xfId="0" applyFill="1" applyBorder="1" applyAlignment="1">
      <alignment wrapText="1"/>
    </xf>
    <xf numFmtId="3" fontId="0" fillId="65" borderId="0" xfId="0" applyNumberFormat="1" applyFill="1" applyBorder="1" applyAlignment="1">
      <alignment wrapText="1"/>
    </xf>
    <xf numFmtId="3" fontId="0" fillId="65" borderId="0" xfId="0" applyNumberFormat="1" applyFill="1" applyAlignment="1">
      <alignment wrapText="1"/>
    </xf>
    <xf numFmtId="1" fontId="40" fillId="63" borderId="36" xfId="0" applyNumberFormat="1" applyFont="1" applyFill="1" applyBorder="1"/>
    <xf numFmtId="0" fontId="21" fillId="63" borderId="0" xfId="0" applyFont="1" applyFill="1" applyAlignment="1">
      <alignment horizontal="left" wrapText="1" indent="1"/>
    </xf>
    <xf numFmtId="0" fontId="0" fillId="65" borderId="0" xfId="0" applyFill="1" applyAlignment="1">
      <alignment horizontal="left" wrapText="1" indent="1"/>
    </xf>
    <xf numFmtId="0" fontId="0" fillId="63" borderId="0" xfId="0" applyFill="1" applyAlignment="1">
      <alignment horizontal="left" wrapText="1" indent="1"/>
    </xf>
    <xf numFmtId="0" fontId="45" fillId="65" borderId="0" xfId="0" applyFont="1" applyFill="1" applyAlignment="1">
      <alignment horizontal="left" wrapText="1" indent="1"/>
    </xf>
    <xf numFmtId="0" fontId="15" fillId="63" borderId="0" xfId="0" applyFont="1" applyFill="1" applyAlignment="1">
      <alignment horizontal="left" wrapText="1" indent="1"/>
    </xf>
    <xf numFmtId="0" fontId="6" fillId="63" borderId="0" xfId="0" applyFont="1" applyFill="1" applyAlignment="1">
      <alignment horizontal="left" wrapText="1" indent="1"/>
    </xf>
    <xf numFmtId="164" fontId="0" fillId="63" borderId="0" xfId="0" applyNumberFormat="1" applyFill="1" applyAlignment="1">
      <alignment horizontal="left" wrapText="1" indent="1"/>
    </xf>
    <xf numFmtId="0" fontId="46" fillId="63" borderId="0" xfId="0" applyFont="1" applyFill="1" applyAlignment="1">
      <alignment horizontal="left" wrapText="1"/>
    </xf>
    <xf numFmtId="170" fontId="41" fillId="63" borderId="0" xfId="1" applyNumberFormat="1" applyFont="1" applyFill="1" applyAlignment="1">
      <alignment horizontal="left" wrapText="1"/>
    </xf>
    <xf numFmtId="0" fontId="39" fillId="63" borderId="38" xfId="0" applyFont="1" applyFill="1" applyBorder="1"/>
    <xf numFmtId="0" fontId="46" fillId="63" borderId="0" xfId="0" applyFont="1" applyFill="1" applyAlignment="1">
      <alignment horizontal="left" wrapText="1" indent="1"/>
    </xf>
    <xf numFmtId="4" fontId="46" fillId="63" borderId="0" xfId="0" applyNumberFormat="1" applyFont="1" applyFill="1" applyAlignment="1">
      <alignment wrapText="1"/>
    </xf>
    <xf numFmtId="4" fontId="0" fillId="63" borderId="0" xfId="0" applyNumberFormat="1" applyFill="1" applyBorder="1" applyAlignment="1">
      <alignment wrapText="1"/>
    </xf>
    <xf numFmtId="164" fontId="0" fillId="65" borderId="0" xfId="0" applyNumberFormat="1" applyFill="1" applyBorder="1" applyAlignment="1">
      <alignment wrapText="1"/>
    </xf>
    <xf numFmtId="0" fontId="39" fillId="63" borderId="40" xfId="0" applyFont="1" applyFill="1" applyBorder="1"/>
    <xf numFmtId="169" fontId="40" fillId="63" borderId="39" xfId="0" applyNumberFormat="1" applyFont="1" applyFill="1" applyBorder="1" applyAlignment="1">
      <alignment horizontal="left"/>
    </xf>
    <xf numFmtId="169" fontId="40" fillId="63" borderId="39" xfId="0" applyNumberFormat="1" applyFont="1" applyFill="1" applyBorder="1"/>
    <xf numFmtId="169" fontId="40" fillId="63" borderId="39" xfId="0" applyNumberFormat="1" applyFont="1" applyFill="1" applyBorder="1" applyAlignment="1">
      <alignment horizontal="left" indent="1"/>
    </xf>
    <xf numFmtId="0" fontId="46" fillId="65" borderId="0" xfId="0" applyFont="1" applyFill="1" applyAlignment="1">
      <alignment horizontal="left" wrapText="1" indent="1"/>
    </xf>
    <xf numFmtId="0" fontId="46" fillId="65" borderId="0" xfId="0" applyFont="1" applyFill="1" applyAlignment="1">
      <alignment wrapText="1"/>
    </xf>
    <xf numFmtId="164" fontId="46" fillId="65" borderId="0" xfId="0" applyNumberFormat="1" applyFont="1" applyFill="1" applyAlignment="1">
      <alignment wrapText="1"/>
    </xf>
    <xf numFmtId="4" fontId="46" fillId="65" borderId="0" xfId="0" applyNumberFormat="1" applyFont="1" applyFill="1" applyAlignment="1">
      <alignment wrapText="1"/>
    </xf>
    <xf numFmtId="0" fontId="34" fillId="63" borderId="0" xfId="0" applyFont="1" applyFill="1" applyAlignment="1">
      <alignment horizontal="left" wrapText="1" indent="1"/>
    </xf>
    <xf numFmtId="3" fontId="8" fillId="63" borderId="0" xfId="0" applyNumberFormat="1" applyFont="1" applyFill="1" applyAlignment="1">
      <alignment wrapText="1"/>
    </xf>
    <xf numFmtId="167" fontId="0" fillId="63" borderId="0" xfId="0" applyNumberFormat="1" applyFill="1" applyAlignment="1">
      <alignment wrapText="1"/>
    </xf>
    <xf numFmtId="0" fontId="39" fillId="63" borderId="0" xfId="0" applyFont="1" applyFill="1" applyBorder="1"/>
    <xf numFmtId="1" fontId="40" fillId="63" borderId="0" xfId="0" applyNumberFormat="1" applyFont="1" applyFill="1" applyBorder="1"/>
    <xf numFmtId="169" fontId="40" fillId="63" borderId="0" xfId="0" applyNumberFormat="1" applyFont="1" applyFill="1" applyBorder="1"/>
    <xf numFmtId="0" fontId="15" fillId="65" borderId="0" xfId="0" applyFont="1" applyFill="1" applyAlignment="1">
      <alignment wrapText="1"/>
    </xf>
    <xf numFmtId="164" fontId="35" fillId="65" borderId="0" xfId="0" applyNumberFormat="1" applyFont="1" applyFill="1" applyAlignment="1">
      <alignment wrapText="1"/>
    </xf>
    <xf numFmtId="4" fontId="12" fillId="65" borderId="0" xfId="0" applyNumberFormat="1" applyFont="1" applyFill="1" applyAlignment="1">
      <alignment wrapText="1"/>
    </xf>
    <xf numFmtId="0" fontId="0" fillId="66" borderId="0" xfId="0" applyFill="1" applyAlignment="1">
      <alignment wrapText="1"/>
    </xf>
    <xf numFmtId="169" fontId="0" fillId="65" borderId="0" xfId="0" applyNumberFormat="1" applyFill="1" applyAlignment="1">
      <alignment wrapText="1"/>
    </xf>
    <xf numFmtId="4" fontId="49" fillId="63" borderId="0" xfId="0" applyNumberFormat="1" applyFont="1" applyFill="1" applyAlignment="1">
      <alignment wrapText="1"/>
    </xf>
    <xf numFmtId="0" fontId="51" fillId="63" borderId="0" xfId="0" applyFont="1" applyFill="1" applyAlignment="1">
      <alignment wrapText="1"/>
    </xf>
    <xf numFmtId="3" fontId="49" fillId="63" borderId="0" xfId="0" applyNumberFormat="1" applyFont="1" applyFill="1" applyAlignment="1">
      <alignment wrapText="1"/>
    </xf>
    <xf numFmtId="0" fontId="50" fillId="63" borderId="0" xfId="0" applyFont="1" applyFill="1" applyAlignment="1">
      <alignment wrapText="1"/>
    </xf>
    <xf numFmtId="169" fontId="46" fillId="63" borderId="0" xfId="0" applyNumberFormat="1" applyFont="1" applyFill="1" applyAlignment="1">
      <alignment wrapText="1"/>
    </xf>
    <xf numFmtId="0" fontId="32" fillId="63" borderId="0" xfId="0" applyFont="1" applyFill="1" applyAlignment="1">
      <alignment wrapText="1"/>
    </xf>
    <xf numFmtId="0" fontId="22" fillId="63" borderId="0" xfId="0" applyFont="1" applyFill="1" applyAlignment="1">
      <alignment wrapText="1"/>
    </xf>
    <xf numFmtId="3" fontId="40" fillId="63" borderId="36" xfId="0" applyNumberFormat="1" applyFont="1" applyFill="1" applyBorder="1"/>
    <xf numFmtId="164" fontId="41" fillId="65" borderId="0" xfId="0" applyNumberFormat="1" applyFont="1" applyFill="1" applyAlignment="1">
      <alignment wrapText="1"/>
    </xf>
    <xf numFmtId="0" fontId="52" fillId="0" borderId="0" xfId="0" applyFont="1" applyAlignment="1">
      <alignment wrapText="1"/>
    </xf>
    <xf numFmtId="164" fontId="53" fillId="63" borderId="0" xfId="0" applyNumberFormat="1" applyFont="1" applyFill="1" applyAlignment="1">
      <alignment wrapText="1"/>
    </xf>
    <xf numFmtId="0" fontId="54" fillId="0" borderId="41" xfId="0" applyFont="1" applyBorder="1" applyAlignment="1">
      <alignment horizontal="center" vertical="center" wrapText="1"/>
    </xf>
    <xf numFmtId="0" fontId="55" fillId="0" borderId="41" xfId="0" applyFont="1" applyBorder="1" applyAlignment="1">
      <alignment horizontal="justify" vertical="center" wrapText="1"/>
    </xf>
    <xf numFmtId="2" fontId="55" fillId="0" borderId="41" xfId="0" applyNumberFormat="1" applyFont="1" applyBorder="1" applyAlignment="1">
      <alignment horizontal="right" vertical="center" wrapText="1"/>
    </xf>
    <xf numFmtId="170" fontId="55" fillId="0" borderId="41" xfId="1" applyNumberFormat="1" applyFont="1" applyBorder="1" applyAlignment="1">
      <alignment horizontal="right" vertical="center" wrapText="1"/>
    </xf>
    <xf numFmtId="0" fontId="54" fillId="0" borderId="41" xfId="0" applyFont="1" applyBorder="1" applyAlignment="1">
      <alignment horizontal="justify" vertical="center" wrapText="1"/>
    </xf>
    <xf numFmtId="0" fontId="54" fillId="67" borderId="41" xfId="0" applyFont="1" applyFill="1" applyBorder="1" applyAlignment="1">
      <alignment horizontal="justify" vertical="center" wrapText="1"/>
    </xf>
    <xf numFmtId="0" fontId="54" fillId="67" borderId="41" xfId="0" applyFont="1" applyFill="1" applyBorder="1" applyAlignment="1">
      <alignment horizontal="right" vertical="center" wrapText="1"/>
    </xf>
    <xf numFmtId="170" fontId="55" fillId="67" borderId="41" xfId="1" applyNumberFormat="1" applyFont="1" applyFill="1" applyBorder="1" applyAlignment="1">
      <alignment horizontal="right" vertical="center" wrapText="1"/>
    </xf>
    <xf numFmtId="2" fontId="54" fillId="0" borderId="41" xfId="0" applyNumberFormat="1" applyFont="1" applyBorder="1" applyAlignment="1">
      <alignment horizontal="right" vertical="center" wrapText="1"/>
    </xf>
    <xf numFmtId="0" fontId="56" fillId="0" borderId="41" xfId="0" applyFont="1" applyBorder="1" applyAlignment="1">
      <alignment horizontal="justify" vertical="center" wrapText="1"/>
    </xf>
    <xf numFmtId="2" fontId="56" fillId="0" borderId="41" xfId="0" applyNumberFormat="1" applyFont="1" applyBorder="1" applyAlignment="1">
      <alignment horizontal="right" vertical="center" wrapText="1"/>
    </xf>
    <xf numFmtId="170" fontId="54" fillId="0" borderId="41" xfId="1" applyNumberFormat="1" applyFont="1" applyBorder="1" applyAlignment="1">
      <alignment horizontal="right" vertical="center" wrapText="1"/>
    </xf>
    <xf numFmtId="170" fontId="38" fillId="63" borderId="0" xfId="1" applyNumberFormat="1" applyFont="1" applyFill="1" applyBorder="1" applyAlignment="1">
      <alignment horizontal="left"/>
    </xf>
    <xf numFmtId="169" fontId="38" fillId="63" borderId="0" xfId="0" applyNumberFormat="1" applyFont="1" applyFill="1" applyBorder="1"/>
    <xf numFmtId="3" fontId="46" fillId="63" borderId="0" xfId="0" applyNumberFormat="1" applyFont="1" applyFill="1" applyAlignment="1">
      <alignment wrapText="1"/>
    </xf>
    <xf numFmtId="0" fontId="0" fillId="64" borderId="0" xfId="0" applyFill="1" applyAlignment="1">
      <alignment horizontal="right" wrapText="1"/>
    </xf>
    <xf numFmtId="9" fontId="0" fillId="63" borderId="0" xfId="0" applyNumberFormat="1" applyFill="1" applyAlignment="1">
      <alignment wrapText="1"/>
    </xf>
    <xf numFmtId="0" fontId="55" fillId="63" borderId="0" xfId="0" applyFont="1" applyFill="1" applyAlignment="1">
      <alignment wrapText="1"/>
    </xf>
    <xf numFmtId="0" fontId="57" fillId="63" borderId="0" xfId="0" applyFont="1" applyFill="1" applyAlignment="1">
      <alignment wrapText="1"/>
    </xf>
    <xf numFmtId="3" fontId="57" fillId="63" borderId="0" xfId="0" applyNumberFormat="1" applyFont="1" applyFill="1" applyAlignment="1">
      <alignment wrapText="1"/>
    </xf>
    <xf numFmtId="0" fontId="54" fillId="65" borderId="0" xfId="0" applyFont="1" applyFill="1" applyAlignment="1">
      <alignment wrapText="1"/>
    </xf>
    <xf numFmtId="0" fontId="55" fillId="65" borderId="0" xfId="0" applyFont="1" applyFill="1" applyAlignment="1">
      <alignment wrapText="1"/>
    </xf>
    <xf numFmtId="0" fontId="58" fillId="63" borderId="0" xfId="0" applyFont="1" applyFill="1"/>
    <xf numFmtId="0" fontId="40" fillId="63" borderId="42" xfId="0" applyFont="1" applyFill="1" applyBorder="1" applyAlignment="1" applyProtection="1">
      <alignment horizontal="left"/>
      <protection locked="0"/>
    </xf>
    <xf numFmtId="0" fontId="40" fillId="68" borderId="42" xfId="0" applyFont="1" applyFill="1" applyBorder="1" applyAlignment="1" applyProtection="1">
      <alignment horizontal="left" indent="1"/>
      <protection locked="0"/>
    </xf>
    <xf numFmtId="0" fontId="58" fillId="65" borderId="0" xfId="0" applyFont="1" applyFill="1"/>
    <xf numFmtId="0" fontId="40" fillId="65" borderId="42" xfId="0" applyFont="1" applyFill="1" applyBorder="1" applyAlignment="1" applyProtection="1">
      <alignment horizontal="left"/>
      <protection locked="0"/>
    </xf>
    <xf numFmtId="169" fontId="40" fillId="66" borderId="39" xfId="0" applyNumberFormat="1" applyFont="1" applyFill="1" applyBorder="1" applyAlignment="1">
      <alignment horizontal="left" indent="1"/>
    </xf>
    <xf numFmtId="169" fontId="40" fillId="66" borderId="36" xfId="0" applyNumberFormat="1" applyFont="1" applyFill="1" applyBorder="1"/>
    <xf numFmtId="0" fontId="55" fillId="63" borderId="0" xfId="0" applyFont="1" applyFill="1" applyAlignment="1"/>
    <xf numFmtId="164" fontId="59" fillId="65" borderId="0" xfId="0" applyNumberFormat="1" applyFont="1" applyFill="1" applyAlignment="1">
      <alignment wrapText="1"/>
    </xf>
    <xf numFmtId="170" fontId="0" fillId="63" borderId="0" xfId="1" applyNumberFormat="1" applyFont="1" applyFill="1" applyAlignment="1">
      <alignment wrapText="1"/>
    </xf>
    <xf numFmtId="0" fontId="0" fillId="56" borderId="0" xfId="0" applyFill="1" applyAlignment="1">
      <alignment wrapText="1"/>
    </xf>
    <xf numFmtId="169" fontId="40" fillId="56" borderId="39" xfId="0" applyNumberFormat="1" applyFont="1" applyFill="1" applyBorder="1" applyAlignment="1">
      <alignment horizontal="left" indent="1"/>
    </xf>
    <xf numFmtId="169" fontId="40" fillId="56" borderId="36" xfId="0" applyNumberFormat="1" applyFont="1" applyFill="1" applyBorder="1"/>
    <xf numFmtId="0" fontId="27" fillId="63" borderId="0" xfId="0" applyFont="1" applyFill="1" applyAlignment="1">
      <alignment horizontal="left" wrapText="1" indent="1"/>
    </xf>
    <xf numFmtId="0" fontId="23" fillId="63" borderId="0" xfId="0" applyFont="1" applyFill="1" applyAlignment="1">
      <alignment wrapText="1"/>
    </xf>
    <xf numFmtId="4" fontId="27" fillId="63" borderId="0" xfId="0" applyNumberFormat="1" applyFont="1" applyFill="1" applyAlignment="1">
      <alignment wrapText="1"/>
    </xf>
    <xf numFmtId="0" fontId="23" fillId="65" borderId="0" xfId="0" applyFont="1" applyFill="1" applyAlignment="1">
      <alignment wrapText="1"/>
    </xf>
    <xf numFmtId="0" fontId="9" fillId="63" borderId="0" xfId="0" applyFont="1" applyFill="1" applyAlignment="1">
      <alignment horizontal="left" wrapText="1" indent="1"/>
    </xf>
    <xf numFmtId="1" fontId="40" fillId="56" borderId="36" xfId="0" applyNumberFormat="1" applyFont="1" applyFill="1" applyBorder="1"/>
    <xf numFmtId="0" fontId="27" fillId="63" borderId="0" xfId="0" applyFont="1" applyFill="1" applyAlignment="1">
      <alignment wrapText="1"/>
    </xf>
    <xf numFmtId="0" fontId="34" fillId="65" borderId="0" xfId="0" applyFont="1" applyFill="1" applyAlignment="1">
      <alignment wrapText="1"/>
    </xf>
    <xf numFmtId="3" fontId="3" fillId="65" borderId="0" xfId="0" applyNumberFormat="1" applyFont="1" applyFill="1" applyAlignment="1">
      <alignment wrapText="1"/>
    </xf>
    <xf numFmtId="3" fontId="40" fillId="56" borderId="36" xfId="0" applyNumberFormat="1" applyFont="1" applyFill="1" applyBorder="1"/>
    <xf numFmtId="0" fontId="27" fillId="63" borderId="0" xfId="0" applyFont="1" applyFill="1" applyAlignment="1"/>
    <xf numFmtId="169" fontId="40" fillId="56" borderId="36" xfId="0" applyNumberFormat="1" applyFont="1" applyFill="1" applyBorder="1" applyAlignment="1">
      <alignment horizontal="left" indent="1"/>
    </xf>
    <xf numFmtId="0" fontId="59" fillId="63" borderId="0" xfId="0" applyFont="1" applyFill="1" applyAlignment="1">
      <alignment wrapText="1"/>
    </xf>
    <xf numFmtId="0" fontId="59" fillId="65" borderId="0" xfId="0" applyFont="1" applyFill="1" applyAlignment="1">
      <alignment wrapText="1"/>
    </xf>
    <xf numFmtId="3" fontId="59" fillId="63" borderId="0" xfId="0" applyNumberFormat="1" applyFont="1" applyFill="1" applyAlignment="1">
      <alignment wrapText="1"/>
    </xf>
    <xf numFmtId="0" fontId="9" fillId="63" borderId="0" xfId="0" applyFont="1" applyFill="1" applyAlignment="1">
      <alignment wrapText="1"/>
    </xf>
    <xf numFmtId="0" fontId="61" fillId="63" borderId="0" xfId="0" applyFont="1" applyFill="1" applyAlignment="1">
      <alignment wrapText="1"/>
    </xf>
    <xf numFmtId="0" fontId="23" fillId="63" borderId="0" xfId="0" applyFont="1" applyFill="1" applyAlignment="1">
      <alignment horizontal="left" wrapText="1" indent="1"/>
    </xf>
    <xf numFmtId="3" fontId="9" fillId="63" borderId="0" xfId="0" applyNumberFormat="1" applyFont="1" applyFill="1" applyAlignment="1">
      <alignment wrapText="1"/>
    </xf>
    <xf numFmtId="0" fontId="9" fillId="65" borderId="0" xfId="0" applyFont="1" applyFill="1" applyAlignment="1">
      <alignment horizontal="left" wrapText="1" indent="1"/>
    </xf>
    <xf numFmtId="169" fontId="40" fillId="56" borderId="39" xfId="0" applyNumberFormat="1" applyFont="1" applyFill="1" applyBorder="1"/>
    <xf numFmtId="3" fontId="59" fillId="65" borderId="0" xfId="0" applyNumberFormat="1" applyFont="1" applyFill="1" applyAlignment="1">
      <alignment wrapText="1"/>
    </xf>
    <xf numFmtId="0" fontId="59" fillId="63" borderId="0" xfId="0" applyFont="1" applyFill="1" applyAlignment="1"/>
    <xf numFmtId="169" fontId="40" fillId="56" borderId="39" xfId="0" applyNumberFormat="1" applyFont="1" applyFill="1" applyBorder="1" applyAlignment="1">
      <alignment horizontal="left"/>
    </xf>
    <xf numFmtId="0" fontId="33" fillId="69" borderId="0" xfId="0" applyFont="1" applyFill="1" applyAlignment="1">
      <alignment wrapText="1"/>
    </xf>
    <xf numFmtId="0" fontId="0" fillId="69" borderId="0" xfId="0" applyFill="1" applyAlignment="1">
      <alignment wrapText="1"/>
    </xf>
    <xf numFmtId="164" fontId="27" fillId="63" borderId="0" xfId="0" applyNumberFormat="1" applyFont="1" applyFill="1" applyAlignment="1">
      <alignment wrapText="1"/>
    </xf>
    <xf numFmtId="0" fontId="54" fillId="0" borderId="41" xfId="0" applyFont="1" applyBorder="1" applyAlignment="1">
      <alignment horizontal="center" vertical="center" wrapText="1"/>
    </xf>
    <xf numFmtId="0" fontId="63" fillId="63" borderId="0" xfId="0" applyFont="1" applyFill="1" applyAlignment="1">
      <alignment wrapText="1"/>
    </xf>
    <xf numFmtId="4" fontId="63" fillId="63" borderId="0" xfId="0" applyNumberFormat="1" applyFont="1" applyFill="1" applyAlignment="1">
      <alignment wrapText="1"/>
    </xf>
    <xf numFmtId="164" fontId="63" fillId="63" borderId="0" xfId="0" applyNumberFormat="1" applyFont="1" applyFill="1" applyAlignment="1">
      <alignment wrapText="1"/>
    </xf>
    <xf numFmtId="0" fontId="64" fillId="56" borderId="0" xfId="0" applyFont="1" applyFill="1" applyAlignment="1">
      <alignment wrapText="1"/>
    </xf>
    <xf numFmtId="3" fontId="63" fillId="63" borderId="0" xfId="0" applyNumberFormat="1" applyFont="1" applyFill="1" applyAlignment="1">
      <alignment wrapText="1"/>
    </xf>
    <xf numFmtId="165" fontId="63" fillId="63" borderId="0" xfId="0" applyNumberFormat="1" applyFont="1" applyFill="1" applyAlignment="1">
      <alignment wrapText="1"/>
    </xf>
    <xf numFmtId="1" fontId="63" fillId="63" borderId="0" xfId="0" applyNumberFormat="1" applyFont="1" applyFill="1" applyAlignment="1">
      <alignment wrapText="1"/>
    </xf>
    <xf numFmtId="0" fontId="65" fillId="63" borderId="0" xfId="0" applyFont="1" applyFill="1" applyAlignment="1">
      <alignment wrapText="1"/>
    </xf>
    <xf numFmtId="0" fontId="63" fillId="63" borderId="37" xfId="0" applyFont="1" applyFill="1" applyBorder="1" applyAlignment="1">
      <alignment wrapText="1"/>
    </xf>
    <xf numFmtId="0" fontId="23" fillId="65" borderId="0" xfId="0" applyFont="1" applyFill="1" applyAlignment="1">
      <alignment horizontal="left" wrapText="1" indent="2"/>
    </xf>
    <xf numFmtId="170" fontId="40" fillId="63" borderId="0" xfId="1" applyNumberFormat="1" applyFont="1" applyFill="1" applyBorder="1" applyAlignment="1">
      <alignment horizontal="left"/>
    </xf>
    <xf numFmtId="0" fontId="0" fillId="0" borderId="0" xfId="0"/>
    <xf numFmtId="0" fontId="68" fillId="0" borderId="0" xfId="0" applyFont="1" applyAlignment="1">
      <alignment wrapText="1"/>
    </xf>
    <xf numFmtId="171" fontId="27" fillId="0" borderId="0" xfId="0" applyNumberFormat="1" applyFont="1" applyAlignment="1">
      <alignment wrapText="1"/>
    </xf>
    <xf numFmtId="2" fontId="0" fillId="0" borderId="0" xfId="0" applyNumberFormat="1" applyAlignment="1">
      <alignment wrapText="1"/>
    </xf>
    <xf numFmtId="165" fontId="26" fillId="63" borderId="0" xfId="0" applyNumberFormat="1" applyFont="1" applyFill="1" applyAlignment="1">
      <alignment wrapText="1"/>
    </xf>
    <xf numFmtId="0" fontId="26" fillId="65" borderId="0" xfId="0" applyFont="1" applyFill="1" applyAlignment="1">
      <alignment wrapText="1"/>
    </xf>
    <xf numFmtId="164" fontId="26" fillId="65" borderId="0" xfId="0" applyNumberFormat="1" applyFont="1" applyFill="1" applyAlignment="1">
      <alignment wrapText="1"/>
    </xf>
    <xf numFmtId="4" fontId="26" fillId="63" borderId="0" xfId="0" applyNumberFormat="1" applyFont="1" applyFill="1" applyAlignment="1">
      <alignment wrapText="1"/>
    </xf>
    <xf numFmtId="0" fontId="26" fillId="63" borderId="0" xfId="0" applyFont="1" applyFill="1" applyAlignment="1">
      <alignment wrapText="1"/>
    </xf>
    <xf numFmtId="0" fontId="26" fillId="0" borderId="0" xfId="0" applyFont="1" applyAlignment="1">
      <alignment wrapText="1"/>
    </xf>
    <xf numFmtId="171" fontId="26" fillId="0" borderId="0" xfId="0" applyNumberFormat="1" applyFont="1" applyAlignment="1">
      <alignment wrapText="1"/>
    </xf>
    <xf numFmtId="171" fontId="26" fillId="63" borderId="0" xfId="0" applyNumberFormat="1" applyFont="1" applyFill="1" applyAlignment="1">
      <alignment wrapText="1"/>
    </xf>
    <xf numFmtId="0" fontId="63" fillId="72" borderId="0" xfId="0" applyFont="1" applyFill="1" applyAlignment="1">
      <alignment wrapText="1"/>
    </xf>
    <xf numFmtId="0" fontId="0" fillId="72" borderId="0" xfId="0" applyFill="1" applyAlignment="1">
      <alignment wrapText="1"/>
    </xf>
    <xf numFmtId="0" fontId="30" fillId="72" borderId="0" xfId="0" applyFont="1" applyFill="1" applyAlignment="1">
      <alignment wrapText="1"/>
    </xf>
    <xf numFmtId="3" fontId="45" fillId="72" borderId="0" xfId="0" applyNumberFormat="1" applyFont="1" applyFill="1" applyAlignment="1">
      <alignment wrapText="1"/>
    </xf>
    <xf numFmtId="164" fontId="43" fillId="72" borderId="0" xfId="0" applyNumberFormat="1" applyFont="1" applyFill="1" applyAlignment="1">
      <alignment wrapText="1"/>
    </xf>
    <xf numFmtId="164" fontId="26" fillId="63" borderId="0" xfId="0" applyNumberFormat="1" applyFont="1" applyFill="1" applyAlignment="1">
      <alignment wrapText="1"/>
    </xf>
    <xf numFmtId="171" fontId="0" fillId="0" borderId="0" xfId="0" applyNumberFormat="1" applyAlignment="1">
      <alignment wrapText="1"/>
    </xf>
    <xf numFmtId="0" fontId="0" fillId="65" borderId="0" xfId="0" applyFont="1" applyFill="1" applyAlignment="1">
      <alignment wrapText="1"/>
    </xf>
    <xf numFmtId="0" fontId="26" fillId="63" borderId="0" xfId="0" applyFont="1" applyFill="1" applyAlignment="1">
      <alignment horizontal="left" wrapText="1" indent="1"/>
    </xf>
    <xf numFmtId="0" fontId="74" fillId="63" borderId="0" xfId="0" applyFont="1" applyFill="1" applyAlignment="1">
      <alignment horizontal="left" wrapText="1" indent="1"/>
    </xf>
    <xf numFmtId="0" fontId="0" fillId="63" borderId="0" xfId="0" applyFont="1" applyFill="1" applyAlignment="1">
      <alignment horizontal="left" wrapText="1" indent="1"/>
    </xf>
    <xf numFmtId="0" fontId="6" fillId="63" borderId="0" xfId="0" applyFont="1" applyFill="1" applyAlignment="1">
      <alignment wrapText="1"/>
    </xf>
    <xf numFmtId="0" fontId="26" fillId="73" borderId="0" xfId="0" applyFont="1" applyFill="1" applyAlignment="1">
      <alignment wrapText="1"/>
    </xf>
    <xf numFmtId="0" fontId="26" fillId="73" borderId="0" xfId="0" applyFont="1" applyFill="1" applyAlignment="1">
      <alignment horizontal="left" wrapText="1" indent="1"/>
    </xf>
    <xf numFmtId="0" fontId="75" fillId="73" borderId="0" xfId="0" applyFont="1" applyFill="1" applyAlignment="1">
      <alignment wrapText="1"/>
    </xf>
    <xf numFmtId="164" fontId="26" fillId="73" borderId="0" xfId="0" applyNumberFormat="1" applyFont="1" applyFill="1" applyAlignment="1">
      <alignment wrapText="1"/>
    </xf>
    <xf numFmtId="0" fontId="3" fillId="65" borderId="0" xfId="0" applyFont="1" applyFill="1" applyAlignment="1">
      <alignment wrapText="1"/>
    </xf>
    <xf numFmtId="2" fontId="0" fillId="0" borderId="0" xfId="0" applyNumberFormat="1"/>
    <xf numFmtId="0" fontId="76" fillId="0" borderId="0" xfId="0" applyFont="1" applyAlignment="1">
      <alignment wrapText="1"/>
    </xf>
    <xf numFmtId="0" fontId="62" fillId="63" borderId="34" xfId="0" applyFont="1" applyFill="1" applyBorder="1" applyAlignment="1"/>
    <xf numFmtId="0" fontId="22" fillId="63" borderId="34" xfId="0" applyFont="1" applyFill="1" applyBorder="1" applyAlignment="1"/>
    <xf numFmtId="1" fontId="0" fillId="63" borderId="0" xfId="0" applyNumberFormat="1" applyFill="1" applyAlignment="1">
      <alignment wrapText="1"/>
    </xf>
    <xf numFmtId="2" fontId="63" fillId="63" borderId="0" xfId="0" applyNumberFormat="1" applyFont="1" applyFill="1" applyAlignment="1">
      <alignment wrapText="1"/>
    </xf>
    <xf numFmtId="10" fontId="27" fillId="63" borderId="0" xfId="0" applyNumberFormat="1" applyFont="1" applyFill="1" applyAlignment="1">
      <alignment wrapText="1"/>
    </xf>
    <xf numFmtId="0" fontId="25" fillId="63" borderId="45" xfId="0" applyFont="1" applyFill="1" applyBorder="1" applyAlignment="1">
      <alignment wrapText="1"/>
    </xf>
    <xf numFmtId="9" fontId="0" fillId="0" borderId="0" xfId="1" applyFont="1" applyAlignment="1">
      <alignment wrapText="1"/>
    </xf>
    <xf numFmtId="1" fontId="0" fillId="0" borderId="0" xfId="0" applyNumberFormat="1" applyAlignment="1">
      <alignment wrapText="1"/>
    </xf>
    <xf numFmtId="0" fontId="0" fillId="0" borderId="44" xfId="0" applyBorder="1" applyAlignment="1">
      <alignment wrapText="1"/>
    </xf>
    <xf numFmtId="0" fontId="0" fillId="0" borderId="43" xfId="0" applyBorder="1" applyAlignment="1">
      <alignment wrapText="1"/>
    </xf>
    <xf numFmtId="1" fontId="0" fillId="0" borderId="43" xfId="0" applyNumberFormat="1" applyBorder="1" applyAlignment="1">
      <alignment wrapText="1"/>
    </xf>
    <xf numFmtId="0" fontId="6" fillId="0" borderId="45" xfId="0" applyFont="1" applyBorder="1" applyAlignment="1">
      <alignment wrapText="1"/>
    </xf>
    <xf numFmtId="9" fontId="6" fillId="0" borderId="45" xfId="1" applyFont="1" applyBorder="1" applyAlignment="1">
      <alignment wrapText="1"/>
    </xf>
    <xf numFmtId="0" fontId="9" fillId="0" borderId="34" xfId="0" applyFont="1" applyBorder="1" applyAlignment="1">
      <alignment wrapText="1"/>
    </xf>
    <xf numFmtId="0" fontId="69" fillId="0" borderId="0" xfId="30" applyAlignment="1">
      <alignment wrapText="1"/>
    </xf>
    <xf numFmtId="164" fontId="6" fillId="63" borderId="0" xfId="0" applyNumberFormat="1" applyFont="1" applyFill="1" applyAlignment="1">
      <alignment wrapText="1"/>
    </xf>
    <xf numFmtId="170" fontId="26" fillId="63" borderId="0" xfId="0" applyNumberFormat="1" applyFont="1" applyFill="1" applyAlignment="1">
      <alignment wrapText="1"/>
    </xf>
    <xf numFmtId="0" fontId="45" fillId="65" borderId="27" xfId="0" applyFont="1" applyFill="1" applyBorder="1" applyAlignment="1">
      <alignment wrapText="1"/>
    </xf>
    <xf numFmtId="0" fontId="0" fillId="65" borderId="27" xfId="0" applyFill="1" applyBorder="1" applyAlignment="1">
      <alignment wrapText="1"/>
    </xf>
    <xf numFmtId="164" fontId="0" fillId="65" borderId="27" xfId="0" applyNumberFormat="1" applyFill="1" applyBorder="1" applyAlignment="1">
      <alignment wrapText="1"/>
    </xf>
    <xf numFmtId="0" fontId="0" fillId="63" borderId="46" xfId="0" applyFill="1" applyBorder="1" applyAlignment="1">
      <alignment wrapText="1"/>
    </xf>
    <xf numFmtId="164" fontId="0" fillId="63" borderId="46" xfId="0" applyNumberFormat="1" applyFill="1" applyBorder="1" applyAlignment="1">
      <alignment wrapText="1"/>
    </xf>
    <xf numFmtId="3" fontId="0" fillId="63" borderId="46" xfId="0" applyNumberFormat="1" applyFill="1" applyBorder="1" applyAlignment="1">
      <alignment wrapText="1"/>
    </xf>
    <xf numFmtId="170" fontId="0" fillId="63" borderId="46" xfId="0" applyNumberFormat="1" applyFill="1" applyBorder="1" applyAlignment="1">
      <alignment wrapText="1"/>
    </xf>
    <xf numFmtId="0" fontId="46" fillId="63" borderId="46" xfId="0" applyFont="1" applyFill="1" applyBorder="1" applyAlignment="1">
      <alignment wrapText="1"/>
    </xf>
    <xf numFmtId="0" fontId="0" fillId="69" borderId="46" xfId="0" applyFill="1" applyBorder="1" applyAlignment="1">
      <alignment wrapText="1"/>
    </xf>
    <xf numFmtId="164" fontId="27" fillId="63" borderId="46" xfId="0" applyNumberFormat="1" applyFont="1" applyFill="1" applyBorder="1" applyAlignment="1">
      <alignment wrapText="1"/>
    </xf>
    <xf numFmtId="164" fontId="77" fillId="63" borderId="46" xfId="0" applyNumberFormat="1" applyFont="1" applyFill="1" applyBorder="1" applyAlignment="1">
      <alignment wrapText="1"/>
    </xf>
    <xf numFmtId="0" fontId="74" fillId="63" borderId="46" xfId="0" applyFont="1" applyFill="1" applyBorder="1" applyAlignment="1">
      <alignment wrapText="1"/>
    </xf>
    <xf numFmtId="164" fontId="74" fillId="63" borderId="46" xfId="0" applyNumberFormat="1" applyFont="1" applyFill="1" applyBorder="1" applyAlignment="1">
      <alignment wrapText="1"/>
    </xf>
    <xf numFmtId="164" fontId="74" fillId="0" borderId="46" xfId="0" applyNumberFormat="1" applyFont="1" applyFill="1" applyBorder="1" applyAlignment="1">
      <alignment wrapText="1"/>
    </xf>
    <xf numFmtId="0" fontId="26" fillId="63" borderId="46" xfId="0" applyFont="1" applyFill="1" applyBorder="1" applyAlignment="1">
      <alignment wrapText="1"/>
    </xf>
    <xf numFmtId="4" fontId="26" fillId="63" borderId="46" xfId="0" applyNumberFormat="1" applyFont="1" applyFill="1" applyBorder="1" applyAlignment="1">
      <alignment wrapText="1"/>
    </xf>
    <xf numFmtId="164" fontId="26" fillId="63" borderId="46" xfId="0" applyNumberFormat="1" applyFont="1" applyFill="1" applyBorder="1" applyAlignment="1">
      <alignment wrapText="1"/>
    </xf>
    <xf numFmtId="0" fontId="27" fillId="63" borderId="46" xfId="0" applyFont="1" applyFill="1" applyBorder="1" applyAlignment="1">
      <alignment wrapText="1"/>
    </xf>
    <xf numFmtId="9" fontId="27" fillId="63" borderId="0" xfId="0" applyNumberFormat="1" applyFont="1" applyFill="1" applyAlignment="1">
      <alignment wrapText="1"/>
    </xf>
    <xf numFmtId="9" fontId="27" fillId="63" borderId="44" xfId="0" applyNumberFormat="1" applyFont="1" applyFill="1" applyBorder="1" applyAlignment="1">
      <alignment wrapText="1"/>
    </xf>
    <xf numFmtId="3" fontId="27" fillId="63" borderId="0" xfId="0" applyNumberFormat="1" applyFont="1" applyFill="1" applyAlignment="1">
      <alignment wrapText="1"/>
    </xf>
    <xf numFmtId="4" fontId="27" fillId="0" borderId="0" xfId="0" applyNumberFormat="1" applyFont="1" applyAlignment="1">
      <alignment wrapText="1"/>
    </xf>
    <xf numFmtId="164" fontId="59" fillId="63" borderId="46" xfId="0" applyNumberFormat="1" applyFont="1" applyFill="1" applyBorder="1" applyAlignment="1">
      <alignment wrapText="1"/>
    </xf>
    <xf numFmtId="3" fontId="27" fillId="63" borderId="46" xfId="0" applyNumberFormat="1" applyFont="1" applyFill="1" applyBorder="1" applyAlignment="1">
      <alignment wrapText="1"/>
    </xf>
    <xf numFmtId="9" fontId="27" fillId="66" borderId="44" xfId="0" applyNumberFormat="1" applyFont="1" applyFill="1" applyBorder="1" applyAlignment="1">
      <alignment wrapText="1"/>
    </xf>
    <xf numFmtId="0" fontId="25" fillId="66" borderId="45" xfId="0" applyFont="1" applyFill="1" applyBorder="1" applyAlignment="1">
      <alignment wrapText="1"/>
    </xf>
    <xf numFmtId="3" fontId="45" fillId="66" borderId="0" xfId="0" applyNumberFormat="1" applyFont="1" applyFill="1" applyAlignment="1">
      <alignment wrapText="1"/>
    </xf>
    <xf numFmtId="3" fontId="0" fillId="66" borderId="0" xfId="0" applyNumberFormat="1" applyFill="1" applyAlignment="1">
      <alignment wrapText="1"/>
    </xf>
    <xf numFmtId="164" fontId="0" fillId="66" borderId="0" xfId="0" applyNumberFormat="1" applyFill="1" applyAlignment="1">
      <alignment wrapText="1"/>
    </xf>
    <xf numFmtId="164" fontId="0" fillId="66" borderId="27" xfId="0" applyNumberFormat="1" applyFill="1" applyBorder="1" applyAlignment="1">
      <alignment wrapText="1"/>
    </xf>
    <xf numFmtId="164" fontId="0" fillId="66" borderId="46" xfId="0" applyNumberFormat="1" applyFill="1" applyBorder="1" applyAlignment="1">
      <alignment wrapText="1"/>
    </xf>
    <xf numFmtId="3" fontId="0" fillId="66" borderId="46" xfId="0" applyNumberFormat="1" applyFill="1" applyBorder="1" applyAlignment="1">
      <alignment wrapText="1"/>
    </xf>
    <xf numFmtId="0" fontId="0" fillId="66" borderId="46" xfId="0" applyFill="1" applyBorder="1" applyAlignment="1">
      <alignment wrapText="1"/>
    </xf>
    <xf numFmtId="170" fontId="0" fillId="66" borderId="46" xfId="0" applyNumberFormat="1" applyFill="1" applyBorder="1" applyAlignment="1">
      <alignment wrapText="1"/>
    </xf>
    <xf numFmtId="164" fontId="27" fillId="66" borderId="46" xfId="0" applyNumberFormat="1" applyFont="1" applyFill="1" applyBorder="1" applyAlignment="1">
      <alignment wrapText="1"/>
    </xf>
    <xf numFmtId="164" fontId="77" fillId="66" borderId="46" xfId="0" applyNumberFormat="1" applyFont="1" applyFill="1" applyBorder="1" applyAlignment="1">
      <alignment wrapText="1"/>
    </xf>
    <xf numFmtId="164" fontId="74" fillId="66" borderId="46" xfId="0" applyNumberFormat="1" applyFont="1" applyFill="1" applyBorder="1" applyAlignment="1">
      <alignment wrapText="1"/>
    </xf>
    <xf numFmtId="3" fontId="27" fillId="66" borderId="46" xfId="0" applyNumberFormat="1" applyFont="1" applyFill="1" applyBorder="1" applyAlignment="1">
      <alignment wrapText="1"/>
    </xf>
    <xf numFmtId="170" fontId="26" fillId="66" borderId="0" xfId="0" applyNumberFormat="1" applyFont="1" applyFill="1" applyAlignment="1">
      <alignment wrapText="1"/>
    </xf>
    <xf numFmtId="4" fontId="0" fillId="66" borderId="0" xfId="0" applyNumberFormat="1" applyFill="1" applyAlignment="1">
      <alignment wrapText="1"/>
    </xf>
    <xf numFmtId="3" fontId="9" fillId="66" borderId="0" xfId="0" applyNumberFormat="1" applyFont="1" applyFill="1" applyAlignment="1">
      <alignment wrapText="1"/>
    </xf>
    <xf numFmtId="0" fontId="0" fillId="66" borderId="0" xfId="0" applyFill="1" applyBorder="1" applyAlignment="1">
      <alignment wrapText="1"/>
    </xf>
    <xf numFmtId="3" fontId="3" fillId="66" borderId="0" xfId="0" applyNumberFormat="1" applyFont="1" applyFill="1" applyAlignment="1">
      <alignment wrapText="1"/>
    </xf>
    <xf numFmtId="0" fontId="39" fillId="66" borderId="35" xfId="0" applyFont="1" applyFill="1" applyBorder="1"/>
    <xf numFmtId="1" fontId="40" fillId="66" borderId="36" xfId="0" applyNumberFormat="1" applyFont="1" applyFill="1" applyBorder="1"/>
    <xf numFmtId="3" fontId="40" fillId="66" borderId="36" xfId="0" applyNumberFormat="1" applyFont="1" applyFill="1" applyBorder="1"/>
    <xf numFmtId="3" fontId="27" fillId="63" borderId="0" xfId="0" applyNumberFormat="1" applyFont="1" applyFill="1" applyAlignment="1">
      <alignment horizontal="left" wrapText="1"/>
    </xf>
    <xf numFmtId="0" fontId="27" fillId="63" borderId="0" xfId="0" applyFont="1" applyFill="1" applyAlignment="1">
      <alignment horizontal="left" wrapText="1"/>
    </xf>
    <xf numFmtId="0" fontId="26" fillId="74" borderId="46" xfId="0" applyFont="1" applyFill="1" applyBorder="1" applyAlignment="1">
      <alignment wrapText="1"/>
    </xf>
    <xf numFmtId="0" fontId="0" fillId="74" borderId="46" xfId="0" applyFill="1" applyBorder="1" applyAlignment="1">
      <alignment wrapText="1"/>
    </xf>
    <xf numFmtId="164" fontId="0" fillId="74" borderId="46" xfId="0" applyNumberFormat="1" applyFill="1" applyBorder="1" applyAlignment="1">
      <alignment wrapText="1"/>
    </xf>
    <xf numFmtId="164" fontId="41" fillId="74" borderId="0" xfId="0" applyNumberFormat="1" applyFont="1" applyFill="1" applyAlignment="1"/>
    <xf numFmtId="0" fontId="0" fillId="74" borderId="0" xfId="0" applyFill="1" applyAlignment="1">
      <alignment wrapText="1"/>
    </xf>
    <xf numFmtId="164" fontId="9" fillId="74" borderId="46" xfId="0" applyNumberFormat="1" applyFont="1" applyFill="1" applyBorder="1" applyAlignment="1">
      <alignment wrapText="1"/>
    </xf>
    <xf numFmtId="0" fontId="27" fillId="65" borderId="0" xfId="0" applyFont="1" applyFill="1" applyAlignment="1">
      <alignment wrapText="1"/>
    </xf>
    <xf numFmtId="0" fontId="27" fillId="68" borderId="46" xfId="0" applyFont="1" applyFill="1" applyBorder="1" applyAlignment="1">
      <alignment wrapText="1"/>
    </xf>
    <xf numFmtId="3" fontId="27" fillId="68" borderId="46" xfId="0" applyNumberFormat="1" applyFont="1" applyFill="1" applyBorder="1" applyAlignment="1">
      <alignment wrapText="1"/>
    </xf>
    <xf numFmtId="164" fontId="27" fillId="68" borderId="46" xfId="0" applyNumberFormat="1" applyFont="1" applyFill="1" applyBorder="1" applyAlignment="1">
      <alignment wrapText="1"/>
    </xf>
    <xf numFmtId="3" fontId="27" fillId="63" borderId="0" xfId="0" applyNumberFormat="1" applyFont="1" applyFill="1" applyBorder="1" applyAlignment="1">
      <alignment wrapText="1"/>
    </xf>
    <xf numFmtId="4" fontId="27" fillId="63" borderId="0" xfId="0" applyNumberFormat="1" applyFont="1" applyFill="1" applyBorder="1" applyAlignment="1">
      <alignment wrapText="1"/>
    </xf>
    <xf numFmtId="164" fontId="27" fillId="63" borderId="0" xfId="0" applyNumberFormat="1" applyFont="1" applyFill="1" applyBorder="1" applyAlignment="1">
      <alignment wrapText="1"/>
    </xf>
    <xf numFmtId="0" fontId="27" fillId="63" borderId="0" xfId="0" applyFont="1" applyFill="1" applyBorder="1" applyAlignment="1">
      <alignment wrapText="1"/>
    </xf>
    <xf numFmtId="169" fontId="41" fillId="63" borderId="0" xfId="0" applyNumberFormat="1" applyFont="1" applyFill="1" applyAlignment="1">
      <alignment wrapText="1"/>
    </xf>
    <xf numFmtId="169" fontId="0" fillId="63" borderId="0" xfId="0" applyNumberFormat="1" applyFill="1" applyAlignment="1">
      <alignment wrapText="1"/>
    </xf>
    <xf numFmtId="169" fontId="0" fillId="66" borderId="0" xfId="0" applyNumberFormat="1" applyFill="1" applyAlignment="1">
      <alignment wrapText="1"/>
    </xf>
    <xf numFmtId="169" fontId="0" fillId="56" borderId="0" xfId="0" applyNumberFormat="1" applyFill="1" applyAlignment="1">
      <alignment wrapText="1"/>
    </xf>
    <xf numFmtId="1" fontId="9" fillId="63" borderId="0" xfId="0" applyNumberFormat="1" applyFont="1" applyFill="1" applyAlignment="1">
      <alignment wrapText="1"/>
    </xf>
    <xf numFmtId="1" fontId="9" fillId="66" borderId="0" xfId="0" applyNumberFormat="1" applyFont="1" applyFill="1" applyAlignment="1">
      <alignment wrapText="1"/>
    </xf>
    <xf numFmtId="169" fontId="0" fillId="70" borderId="0" xfId="0" applyNumberFormat="1" applyFill="1" applyAlignment="1">
      <alignment wrapText="1"/>
    </xf>
    <xf numFmtId="169" fontId="0" fillId="64" borderId="0" xfId="0" applyNumberFormat="1" applyFill="1" applyAlignment="1">
      <alignment wrapText="1"/>
    </xf>
    <xf numFmtId="0" fontId="27" fillId="63" borderId="16" xfId="0" applyFont="1" applyFill="1" applyBorder="1" applyAlignment="1">
      <alignment horizontal="left" wrapText="1" indent="1"/>
    </xf>
    <xf numFmtId="0" fontId="27" fillId="63" borderId="16" xfId="0" applyFont="1" applyFill="1" applyBorder="1" applyAlignment="1">
      <alignment wrapText="1"/>
    </xf>
    <xf numFmtId="164" fontId="27" fillId="63" borderId="16" xfId="0" applyNumberFormat="1" applyFont="1" applyFill="1" applyBorder="1" applyAlignment="1">
      <alignment wrapText="1"/>
    </xf>
    <xf numFmtId="0" fontId="27" fillId="56" borderId="0" xfId="0" applyFont="1" applyFill="1" applyAlignment="1">
      <alignment wrapText="1"/>
    </xf>
    <xf numFmtId="9" fontId="6" fillId="75" borderId="0" xfId="0" applyNumberFormat="1" applyFont="1" applyFill="1" applyAlignment="1">
      <alignment wrapText="1"/>
    </xf>
    <xf numFmtId="0" fontId="6" fillId="75" borderId="0" xfId="0" applyFont="1" applyFill="1" applyAlignment="1">
      <alignment wrapText="1"/>
    </xf>
    <xf numFmtId="1" fontId="6" fillId="75" borderId="0" xfId="0" applyNumberFormat="1" applyFont="1" applyFill="1" applyAlignment="1">
      <alignment wrapText="1"/>
    </xf>
    <xf numFmtId="4" fontId="6" fillId="75" borderId="0" xfId="0" applyNumberFormat="1" applyFont="1" applyFill="1" applyAlignment="1">
      <alignment wrapText="1"/>
    </xf>
    <xf numFmtId="3" fontId="6" fillId="75" borderId="0" xfId="0" applyNumberFormat="1" applyFont="1" applyFill="1" applyBorder="1" applyAlignment="1">
      <alignment wrapText="1"/>
    </xf>
    <xf numFmtId="0" fontId="73" fillId="65" borderId="0" xfId="0" applyFont="1" applyFill="1" applyAlignment="1">
      <alignment wrapText="1"/>
    </xf>
    <xf numFmtId="1" fontId="16" fillId="63" borderId="0" xfId="0" applyNumberFormat="1" applyFont="1" applyFill="1" applyAlignment="1">
      <alignment wrapText="1"/>
    </xf>
    <xf numFmtId="0" fontId="4" fillId="0" borderId="0" xfId="0" applyFont="1" applyAlignment="1">
      <alignment wrapText="1"/>
    </xf>
    <xf numFmtId="1" fontId="0" fillId="66" borderId="0" xfId="0" applyNumberFormat="1" applyFill="1" applyAlignment="1">
      <alignment wrapText="1"/>
    </xf>
    <xf numFmtId="1" fontId="16" fillId="66" borderId="0" xfId="0" applyNumberFormat="1" applyFont="1" applyFill="1" applyAlignment="1">
      <alignment wrapText="1"/>
    </xf>
    <xf numFmtId="0" fontId="25" fillId="66" borderId="0" xfId="0" applyFont="1" applyFill="1" applyAlignment="1">
      <alignment wrapText="1"/>
    </xf>
    <xf numFmtId="10" fontId="0" fillId="66" borderId="0" xfId="0" applyNumberFormat="1" applyFill="1" applyAlignment="1">
      <alignment wrapText="1"/>
    </xf>
    <xf numFmtId="170" fontId="0" fillId="66" borderId="0" xfId="0" applyNumberFormat="1" applyFill="1" applyAlignment="1">
      <alignment wrapText="1"/>
    </xf>
    <xf numFmtId="164" fontId="27" fillId="66" borderId="0" xfId="0" applyNumberFormat="1" applyFont="1" applyFill="1" applyAlignment="1">
      <alignment wrapText="1"/>
    </xf>
    <xf numFmtId="164" fontId="59" fillId="66" borderId="0" xfId="0" applyNumberFormat="1" applyFont="1" applyFill="1" applyAlignment="1">
      <alignment wrapText="1"/>
    </xf>
    <xf numFmtId="168" fontId="0" fillId="66" borderId="0" xfId="0" applyNumberFormat="1" applyFill="1" applyAlignment="1">
      <alignment wrapText="1"/>
    </xf>
    <xf numFmtId="3" fontId="0" fillId="66" borderId="0" xfId="0" applyNumberFormat="1" applyFill="1" applyBorder="1" applyAlignment="1">
      <alignment wrapText="1"/>
    </xf>
    <xf numFmtId="3" fontId="59" fillId="66" borderId="0" xfId="0" applyNumberFormat="1" applyFont="1" applyFill="1" applyAlignment="1">
      <alignment wrapText="1"/>
    </xf>
    <xf numFmtId="0" fontId="0" fillId="73" borderId="0" xfId="0" applyFill="1" applyAlignment="1">
      <alignment wrapText="1"/>
    </xf>
    <xf numFmtId="0" fontId="0" fillId="73" borderId="0" xfId="0" applyFill="1" applyAlignment="1">
      <alignment horizontal="left" wrapText="1" indent="1"/>
    </xf>
    <xf numFmtId="164" fontId="0" fillId="73" borderId="0" xfId="0" applyNumberFormat="1" applyFill="1" applyAlignment="1">
      <alignment wrapText="1"/>
    </xf>
    <xf numFmtId="0" fontId="8" fillId="63" borderId="0" xfId="0" applyFont="1" applyFill="1" applyAlignment="1">
      <alignment wrapText="1"/>
    </xf>
    <xf numFmtId="164" fontId="21" fillId="63" borderId="0" xfId="0" applyNumberFormat="1" applyFont="1" applyFill="1" applyAlignment="1">
      <alignment wrapText="1"/>
    </xf>
    <xf numFmtId="164" fontId="21" fillId="66" borderId="0" xfId="0" applyNumberFormat="1" applyFont="1" applyFill="1" applyAlignment="1">
      <alignment wrapText="1"/>
    </xf>
    <xf numFmtId="0" fontId="74" fillId="63" borderId="0" xfId="0" applyFont="1" applyFill="1" applyAlignment="1">
      <alignment wrapText="1"/>
    </xf>
    <xf numFmtId="3" fontId="74" fillId="63" borderId="0" xfId="0" applyNumberFormat="1" applyFont="1" applyFill="1" applyAlignment="1">
      <alignment wrapText="1"/>
    </xf>
    <xf numFmtId="3" fontId="74" fillId="66" borderId="0" xfId="0" applyNumberFormat="1" applyFont="1" applyFill="1" applyAlignment="1">
      <alignment wrapText="1"/>
    </xf>
    <xf numFmtId="0" fontId="30" fillId="73" borderId="0" xfId="0" applyFont="1" applyFill="1" applyAlignment="1">
      <alignment wrapText="1"/>
    </xf>
    <xf numFmtId="3" fontId="2" fillId="73" borderId="0" xfId="0" applyNumberFormat="1" applyFont="1" applyFill="1" applyAlignment="1">
      <alignment wrapText="1"/>
    </xf>
    <xf numFmtId="164" fontId="43" fillId="73" borderId="0" xfId="0" applyNumberFormat="1" applyFont="1" applyFill="1" applyAlignment="1">
      <alignment wrapText="1"/>
    </xf>
    <xf numFmtId="164" fontId="2" fillId="73" borderId="0" xfId="0" applyNumberFormat="1" applyFont="1" applyFill="1" applyAlignment="1">
      <alignment wrapText="1"/>
    </xf>
    <xf numFmtId="0" fontId="2" fillId="63" borderId="0" xfId="0" applyFont="1" applyFill="1" applyAlignment="1">
      <alignment wrapText="1"/>
    </xf>
    <xf numFmtId="0" fontId="0" fillId="65" borderId="0" xfId="0" applyFont="1" applyFill="1" applyAlignment="1">
      <alignment horizontal="left" wrapText="1" indent="1"/>
    </xf>
    <xf numFmtId="164" fontId="0" fillId="65" borderId="0" xfId="0" applyNumberFormat="1" applyFont="1" applyFill="1" applyAlignment="1">
      <alignment wrapText="1"/>
    </xf>
    <xf numFmtId="0" fontId="0" fillId="63" borderId="0" xfId="0" applyFont="1" applyFill="1" applyAlignment="1">
      <alignment wrapText="1"/>
    </xf>
    <xf numFmtId="0" fontId="9" fillId="73" borderId="0" xfId="0" applyFont="1" applyFill="1" applyAlignment="1">
      <alignment wrapText="1"/>
    </xf>
    <xf numFmtId="0" fontId="9" fillId="73" borderId="0" xfId="0" applyFont="1" applyFill="1" applyAlignment="1">
      <alignment horizontal="left" wrapText="1" indent="1"/>
    </xf>
    <xf numFmtId="0" fontId="12" fillId="73" borderId="0" xfId="0" applyFont="1" applyFill="1" applyAlignment="1">
      <alignment wrapText="1"/>
    </xf>
    <xf numFmtId="164" fontId="9" fillId="73" borderId="0" xfId="0" applyNumberFormat="1" applyFont="1" applyFill="1" applyAlignment="1">
      <alignment wrapText="1"/>
    </xf>
    <xf numFmtId="165" fontId="27" fillId="63" borderId="0" xfId="0" applyNumberFormat="1" applyFont="1" applyFill="1" applyAlignment="1">
      <alignment wrapText="1"/>
    </xf>
    <xf numFmtId="4" fontId="27" fillId="65" borderId="0" xfId="0" applyNumberFormat="1" applyFont="1" applyFill="1" applyAlignment="1">
      <alignment wrapText="1"/>
    </xf>
    <xf numFmtId="4" fontId="27" fillId="63" borderId="0" xfId="0" applyNumberFormat="1" applyFont="1" applyFill="1" applyAlignment="1"/>
    <xf numFmtId="169" fontId="38" fillId="56" borderId="39" xfId="0" applyNumberFormat="1" applyFont="1" applyFill="1" applyBorder="1" applyAlignment="1">
      <alignment horizontal="left"/>
    </xf>
    <xf numFmtId="169" fontId="38" fillId="56" borderId="36" xfId="0" applyNumberFormat="1" applyFont="1" applyFill="1" applyBorder="1"/>
    <xf numFmtId="169" fontId="38" fillId="66" borderId="36" xfId="0" applyNumberFormat="1" applyFont="1" applyFill="1" applyBorder="1"/>
    <xf numFmtId="0" fontId="77" fillId="0" borderId="0" xfId="0" applyFont="1" applyAlignment="1">
      <alignment wrapText="1"/>
    </xf>
    <xf numFmtId="0" fontId="79" fillId="63" borderId="0" xfId="0" applyFont="1" applyFill="1" applyAlignment="1">
      <alignment wrapText="1"/>
    </xf>
    <xf numFmtId="0" fontId="77" fillId="63" borderId="0" xfId="0" applyFont="1" applyFill="1" applyAlignment="1">
      <alignment wrapText="1"/>
    </xf>
    <xf numFmtId="0" fontId="6" fillId="63" borderId="27" xfId="0" applyFont="1" applyFill="1" applyBorder="1" applyAlignment="1">
      <alignment wrapText="1"/>
    </xf>
    <xf numFmtId="3" fontId="27" fillId="63" borderId="27" xfId="0" applyNumberFormat="1" applyFont="1" applyFill="1" applyBorder="1" applyAlignment="1">
      <alignment wrapText="1"/>
    </xf>
    <xf numFmtId="3" fontId="27" fillId="63" borderId="45" xfId="0" applyNumberFormat="1" applyFont="1" applyFill="1" applyBorder="1" applyAlignment="1">
      <alignment wrapText="1"/>
    </xf>
    <xf numFmtId="3" fontId="27" fillId="66" borderId="45" xfId="0" applyNumberFormat="1" applyFont="1" applyFill="1" applyBorder="1" applyAlignment="1">
      <alignment wrapText="1"/>
    </xf>
    <xf numFmtId="0" fontId="18" fillId="63" borderId="46" xfId="0" applyFont="1" applyFill="1" applyBorder="1" applyAlignment="1">
      <alignment wrapText="1"/>
    </xf>
    <xf numFmtId="0" fontId="18" fillId="63" borderId="34" xfId="0" applyFont="1" applyFill="1" applyBorder="1" applyAlignment="1">
      <alignment wrapText="1"/>
    </xf>
    <xf numFmtId="0" fontId="18" fillId="66" borderId="34" xfId="0" applyFont="1" applyFill="1" applyBorder="1" applyAlignment="1">
      <alignment wrapText="1"/>
    </xf>
    <xf numFmtId="0" fontId="16" fillId="69" borderId="46" xfId="0" applyFont="1" applyFill="1" applyBorder="1" applyAlignment="1">
      <alignment wrapText="1"/>
    </xf>
    <xf numFmtId="0" fontId="16" fillId="69" borderId="34" xfId="0" applyFont="1" applyFill="1" applyBorder="1" applyAlignment="1">
      <alignment wrapText="1"/>
    </xf>
    <xf numFmtId="0" fontId="16" fillId="66" borderId="34" xfId="0" applyFont="1" applyFill="1" applyBorder="1" applyAlignment="1">
      <alignment wrapText="1"/>
    </xf>
    <xf numFmtId="0" fontId="77" fillId="63" borderId="16" xfId="0" applyFont="1" applyFill="1" applyBorder="1" applyAlignment="1">
      <alignment wrapText="1"/>
    </xf>
    <xf numFmtId="3" fontId="79" fillId="63" borderId="16" xfId="0" applyNumberFormat="1" applyFont="1" applyFill="1" applyBorder="1" applyAlignment="1">
      <alignment wrapText="1"/>
    </xf>
    <xf numFmtId="0" fontId="77" fillId="63" borderId="46" xfId="0" applyFont="1" applyFill="1" applyBorder="1" applyAlignment="1">
      <alignment wrapText="1"/>
    </xf>
    <xf numFmtId="164" fontId="77" fillId="63" borderId="0" xfId="0" applyNumberFormat="1" applyFont="1" applyFill="1" applyAlignment="1">
      <alignment wrapText="1"/>
    </xf>
    <xf numFmtId="0" fontId="77" fillId="69" borderId="0" xfId="0" applyFont="1" applyFill="1" applyAlignment="1">
      <alignment wrapText="1"/>
    </xf>
    <xf numFmtId="0" fontId="77" fillId="69" borderId="46" xfId="0" applyFont="1" applyFill="1" applyBorder="1" applyAlignment="1">
      <alignment wrapText="1"/>
    </xf>
    <xf numFmtId="164" fontId="77" fillId="69" borderId="46" xfId="0" applyNumberFormat="1" applyFont="1" applyFill="1" applyBorder="1" applyAlignment="1">
      <alignment wrapText="1"/>
    </xf>
    <xf numFmtId="164" fontId="77" fillId="69" borderId="0" xfId="0" applyNumberFormat="1" applyFont="1" applyFill="1" applyAlignment="1">
      <alignment wrapText="1"/>
    </xf>
    <xf numFmtId="10" fontId="77" fillId="69" borderId="46" xfId="0" applyNumberFormat="1" applyFont="1" applyFill="1" applyBorder="1" applyAlignment="1">
      <alignment wrapText="1"/>
    </xf>
    <xf numFmtId="0" fontId="78" fillId="63" borderId="46" xfId="0" applyFont="1" applyFill="1" applyBorder="1" applyAlignment="1">
      <alignment wrapText="1"/>
    </xf>
    <xf numFmtId="0" fontId="77" fillId="63" borderId="46" xfId="0" applyFont="1" applyFill="1" applyBorder="1" applyAlignment="1">
      <alignment horizontal="left" wrapText="1" indent="1"/>
    </xf>
    <xf numFmtId="3" fontId="9" fillId="74" borderId="46" xfId="0" applyNumberFormat="1" applyFont="1" applyFill="1" applyBorder="1" applyAlignment="1">
      <alignment wrapText="1"/>
    </xf>
    <xf numFmtId="3" fontId="63" fillId="74" borderId="0" xfId="0" applyNumberFormat="1" applyFont="1" applyFill="1" applyAlignment="1">
      <alignment wrapText="1"/>
    </xf>
    <xf numFmtId="164" fontId="27" fillId="74" borderId="0" xfId="0" applyNumberFormat="1" applyFont="1" applyFill="1" applyAlignment="1"/>
    <xf numFmtId="0" fontId="83" fillId="0" borderId="0" xfId="0" applyFont="1" applyAlignment="1">
      <alignment wrapText="1"/>
    </xf>
    <xf numFmtId="0" fontId="80" fillId="0" borderId="0" xfId="0" applyFont="1" applyAlignment="1">
      <alignment wrapText="1"/>
    </xf>
    <xf numFmtId="0" fontId="82" fillId="0" borderId="0" xfId="0" applyFont="1" applyAlignment="1">
      <alignment wrapText="1"/>
    </xf>
    <xf numFmtId="0" fontId="84" fillId="0" borderId="0" xfId="0" applyFont="1" applyAlignment="1">
      <alignment wrapText="1"/>
    </xf>
    <xf numFmtId="0" fontId="85" fillId="0" borderId="0" xfId="0" applyFont="1" applyAlignment="1">
      <alignment wrapText="1"/>
    </xf>
    <xf numFmtId="0" fontId="81" fillId="0" borderId="0" xfId="0" applyFont="1" applyAlignment="1">
      <alignment wrapText="1"/>
    </xf>
    <xf numFmtId="0" fontId="86" fillId="0" borderId="0" xfId="0" applyFont="1" applyAlignment="1">
      <alignment wrapText="1"/>
    </xf>
    <xf numFmtId="3" fontId="87" fillId="0" borderId="0" xfId="0" applyNumberFormat="1" applyFont="1" applyAlignment="1">
      <alignment wrapText="1"/>
    </xf>
    <xf numFmtId="3" fontId="88" fillId="0" borderId="0" xfId="0" applyNumberFormat="1" applyFont="1" applyAlignment="1">
      <alignment wrapText="1"/>
    </xf>
    <xf numFmtId="3" fontId="89" fillId="0" borderId="0" xfId="0" applyNumberFormat="1" applyFont="1" applyAlignment="1">
      <alignment wrapText="1"/>
    </xf>
    <xf numFmtId="9" fontId="84" fillId="0" borderId="0" xfId="0" applyNumberFormat="1" applyFont="1" applyAlignment="1">
      <alignment wrapText="1"/>
    </xf>
    <xf numFmtId="0" fontId="90" fillId="0" borderId="0" xfId="0" applyFont="1" applyAlignment="1">
      <alignment wrapText="1"/>
    </xf>
    <xf numFmtId="0" fontId="0" fillId="63" borderId="46" xfId="0" applyFont="1" applyFill="1" applyBorder="1" applyAlignment="1">
      <alignment wrapText="1"/>
    </xf>
    <xf numFmtId="164" fontId="0" fillId="63" borderId="46" xfId="0" applyNumberFormat="1" applyFont="1" applyFill="1" applyBorder="1" applyAlignment="1">
      <alignment wrapText="1"/>
    </xf>
    <xf numFmtId="172" fontId="0" fillId="63" borderId="0" xfId="0" applyNumberFormat="1" applyFill="1" applyAlignment="1">
      <alignment wrapText="1"/>
    </xf>
    <xf numFmtId="0" fontId="77" fillId="64" borderId="0" xfId="0" applyFont="1" applyFill="1" applyAlignment="1">
      <alignment horizontal="left" wrapText="1" indent="1"/>
    </xf>
    <xf numFmtId="0" fontId="79" fillId="64" borderId="0" xfId="0" applyFont="1" applyFill="1" applyAlignment="1">
      <alignment wrapText="1"/>
    </xf>
    <xf numFmtId="164" fontId="77" fillId="64" borderId="0" xfId="0" applyNumberFormat="1" applyFont="1" applyFill="1" applyAlignment="1">
      <alignment wrapText="1"/>
    </xf>
    <xf numFmtId="0" fontId="91" fillId="0" borderId="0" xfId="0" applyFont="1" applyAlignment="1">
      <alignment wrapText="1"/>
    </xf>
    <xf numFmtId="0" fontId="9" fillId="63" borderId="46" xfId="0" applyFont="1" applyFill="1" applyBorder="1" applyAlignment="1">
      <alignment wrapText="1"/>
    </xf>
    <xf numFmtId="4" fontId="78" fillId="63" borderId="46" xfId="0" applyNumberFormat="1" applyFont="1" applyFill="1" applyBorder="1" applyAlignment="1">
      <alignment wrapText="1"/>
    </xf>
    <xf numFmtId="9" fontId="0" fillId="66" borderId="0" xfId="0" applyNumberFormat="1" applyFill="1" applyAlignment="1">
      <alignment wrapText="1"/>
    </xf>
    <xf numFmtId="0" fontId="92" fillId="0" borderId="0" xfId="0" applyFont="1" applyAlignment="1">
      <alignment wrapText="1"/>
    </xf>
    <xf numFmtId="0" fontId="92" fillId="64" borderId="0" xfId="0" applyFont="1" applyFill="1" applyAlignment="1">
      <alignment wrapText="1"/>
    </xf>
    <xf numFmtId="168" fontId="26" fillId="73" borderId="0" xfId="0" applyNumberFormat="1" applyFont="1" applyFill="1" applyAlignment="1">
      <alignment wrapText="1"/>
    </xf>
    <xf numFmtId="0" fontId="93" fillId="63" borderId="0" xfId="0" applyFont="1" applyFill="1" applyAlignment="1">
      <alignment wrapText="1"/>
    </xf>
    <xf numFmtId="169" fontId="94" fillId="63" borderId="36" xfId="0" applyNumberFormat="1" applyFont="1" applyFill="1" applyBorder="1"/>
    <xf numFmtId="164" fontId="77" fillId="63" borderId="16" xfId="0" applyNumberFormat="1" applyFont="1" applyFill="1" applyBorder="1" applyAlignment="1">
      <alignment wrapText="1"/>
    </xf>
    <xf numFmtId="0" fontId="77" fillId="63" borderId="0" xfId="0" applyFont="1" applyFill="1" applyAlignment="1"/>
    <xf numFmtId="0" fontId="77" fillId="65" borderId="0" xfId="0" applyFont="1" applyFill="1" applyAlignment="1">
      <alignment wrapText="1"/>
    </xf>
    <xf numFmtId="4" fontId="79" fillId="77" borderId="0" xfId="0" applyNumberFormat="1" applyFont="1" applyFill="1" applyAlignment="1">
      <alignment wrapText="1"/>
    </xf>
    <xf numFmtId="0" fontId="79" fillId="77" borderId="0" xfId="0" applyFont="1" applyFill="1" applyAlignment="1">
      <alignment wrapText="1"/>
    </xf>
    <xf numFmtId="0" fontId="77" fillId="77" borderId="0" xfId="0" applyFont="1" applyFill="1" applyAlignment="1">
      <alignment horizontal="left" wrapText="1" indent="1"/>
    </xf>
    <xf numFmtId="0" fontId="77" fillId="77" borderId="0" xfId="0" applyFont="1" applyFill="1" applyAlignment="1">
      <alignment wrapText="1"/>
    </xf>
    <xf numFmtId="0" fontId="9" fillId="0" borderId="50" xfId="0" applyFont="1" applyBorder="1" applyAlignment="1">
      <alignment vertical="center" wrapText="1"/>
    </xf>
    <xf numFmtId="0" fontId="0" fillId="0" borderId="51" xfId="0" applyBorder="1" applyAlignment="1">
      <alignment horizontal="right" vertical="center" wrapText="1"/>
    </xf>
    <xf numFmtId="0" fontId="0" fillId="0" borderId="51" xfId="0" applyBorder="1" applyAlignment="1">
      <alignment horizontal="center" vertical="center" wrapText="1"/>
    </xf>
    <xf numFmtId="0" fontId="9" fillId="0" borderId="51" xfId="0" applyFont="1" applyBorder="1" applyAlignment="1">
      <alignment horizontal="center" vertical="center" wrapText="1"/>
    </xf>
    <xf numFmtId="0" fontId="69" fillId="0" borderId="50" xfId="30" applyBorder="1" applyAlignment="1">
      <alignment vertical="center" wrapText="1"/>
    </xf>
    <xf numFmtId="0" fontId="97" fillId="0" borderId="0" xfId="0" applyFont="1" applyAlignment="1">
      <alignment wrapText="1"/>
    </xf>
    <xf numFmtId="0" fontId="99" fillId="0" borderId="0" xfId="0" applyFont="1" applyAlignment="1">
      <alignment wrapText="1"/>
    </xf>
    <xf numFmtId="4" fontId="77" fillId="0" borderId="0" xfId="0" applyNumberFormat="1" applyFont="1" applyAlignment="1">
      <alignment wrapText="1"/>
    </xf>
    <xf numFmtId="0" fontId="100" fillId="0" borderId="0" xfId="63" applyFont="1"/>
    <xf numFmtId="0" fontId="59" fillId="0" borderId="0" xfId="63"/>
    <xf numFmtId="0" fontId="101" fillId="79" borderId="0" xfId="63" applyFont="1" applyFill="1"/>
    <xf numFmtId="0" fontId="59" fillId="0" borderId="34" xfId="63" applyBorder="1"/>
    <xf numFmtId="0" fontId="102" fillId="0" borderId="34" xfId="63" applyFont="1" applyBorder="1"/>
    <xf numFmtId="0" fontId="104" fillId="63" borderId="34" xfId="64" applyFont="1" applyFill="1" applyBorder="1"/>
    <xf numFmtId="0" fontId="105" fillId="0" borderId="0" xfId="63" applyFont="1"/>
    <xf numFmtId="169" fontId="40" fillId="63" borderId="36" xfId="65" applyNumberFormat="1" applyFont="1" applyFill="1" applyBorder="1"/>
    <xf numFmtId="0" fontId="105" fillId="0" borderId="34" xfId="63" applyFont="1" applyBorder="1"/>
    <xf numFmtId="0" fontId="85" fillId="76" borderId="34" xfId="64" applyFont="1" applyBorder="1"/>
    <xf numFmtId="0" fontId="107" fillId="0" borderId="34" xfId="63" applyFont="1" applyBorder="1"/>
    <xf numFmtId="169" fontId="86" fillId="56" borderId="34" xfId="64" applyNumberFormat="1" applyFont="1" applyFill="1" applyBorder="1"/>
    <xf numFmtId="171" fontId="108" fillId="0" borderId="34" xfId="63" applyNumberFormat="1" applyFont="1" applyBorder="1"/>
    <xf numFmtId="0" fontId="88" fillId="76" borderId="34" xfId="64" applyFont="1" applyBorder="1"/>
    <xf numFmtId="171" fontId="89" fillId="56" borderId="34" xfId="64" applyNumberFormat="1" applyFont="1" applyFill="1" applyBorder="1"/>
    <xf numFmtId="0" fontId="101" fillId="56" borderId="0" xfId="63" applyFont="1" applyFill="1"/>
    <xf numFmtId="0" fontId="101" fillId="0" borderId="0" xfId="63" applyFont="1"/>
    <xf numFmtId="0" fontId="101" fillId="0" borderId="34" xfId="63" applyFont="1" applyBorder="1"/>
    <xf numFmtId="1" fontId="59" fillId="70" borderId="34" xfId="63" applyNumberFormat="1" applyFill="1" applyBorder="1"/>
    <xf numFmtId="0" fontId="59" fillId="70" borderId="0" xfId="63" applyFill="1"/>
    <xf numFmtId="1" fontId="59" fillId="0" borderId="0" xfId="63" applyNumberFormat="1"/>
    <xf numFmtId="1" fontId="101" fillId="63" borderId="0" xfId="63" applyNumberFormat="1" applyFont="1" applyFill="1"/>
    <xf numFmtId="2" fontId="101" fillId="0" borderId="34" xfId="63" applyNumberFormat="1" applyFont="1" applyBorder="1"/>
    <xf numFmtId="1" fontId="59" fillId="0" borderId="34" xfId="63" applyNumberFormat="1" applyBorder="1"/>
    <xf numFmtId="1" fontId="59" fillId="56" borderId="34" xfId="63" applyNumberFormat="1" applyFill="1" applyBorder="1"/>
    <xf numFmtId="0" fontId="105" fillId="70" borderId="0" xfId="63" applyFont="1" applyFill="1"/>
    <xf numFmtId="1" fontId="59" fillId="80" borderId="34" xfId="63" applyNumberFormat="1" applyFill="1" applyBorder="1"/>
    <xf numFmtId="2" fontId="101" fillId="69" borderId="43" xfId="63" applyNumberFormat="1" applyFont="1" applyFill="1" applyBorder="1"/>
    <xf numFmtId="0" fontId="59" fillId="69" borderId="0" xfId="63" applyFill="1"/>
    <xf numFmtId="0" fontId="59" fillId="79" borderId="0" xfId="63" applyFill="1"/>
    <xf numFmtId="2" fontId="101" fillId="0" borderId="0" xfId="63" applyNumberFormat="1" applyFont="1" applyFill="1" applyBorder="1"/>
    <xf numFmtId="0" fontId="59" fillId="81" borderId="34" xfId="63" applyFill="1" applyBorder="1"/>
    <xf numFmtId="0" fontId="105" fillId="79" borderId="0" xfId="63" applyFont="1" applyFill="1"/>
    <xf numFmtId="1" fontId="59" fillId="79" borderId="0" xfId="63" applyNumberFormat="1" applyFill="1"/>
    <xf numFmtId="1" fontId="101" fillId="0" borderId="0" xfId="63" applyNumberFormat="1" applyFont="1"/>
    <xf numFmtId="1" fontId="59" fillId="63" borderId="34" xfId="63" applyNumberFormat="1" applyFill="1" applyBorder="1"/>
    <xf numFmtId="9" fontId="59" fillId="0" borderId="34" xfId="63" applyNumberFormat="1" applyBorder="1"/>
    <xf numFmtId="1" fontId="59" fillId="74" borderId="34" xfId="63" applyNumberFormat="1" applyFill="1" applyBorder="1"/>
    <xf numFmtId="1" fontId="109" fillId="82" borderId="34" xfId="63" applyNumberFormat="1" applyFont="1" applyFill="1" applyBorder="1"/>
    <xf numFmtId="1" fontId="59" fillId="0" borderId="0" xfId="63" applyNumberFormat="1" applyBorder="1"/>
    <xf numFmtId="1" fontId="101" fillId="79" borderId="0" xfId="63" applyNumberFormat="1" applyFont="1" applyFill="1"/>
    <xf numFmtId="1" fontId="59" fillId="79" borderId="0" xfId="63" applyNumberFormat="1" applyFill="1" applyBorder="1"/>
    <xf numFmtId="169" fontId="59" fillId="0" borderId="0" xfId="63" applyNumberFormat="1"/>
    <xf numFmtId="0" fontId="59" fillId="63" borderId="0" xfId="63" applyFill="1"/>
    <xf numFmtId="1" fontId="105" fillId="56" borderId="0" xfId="63" applyNumberFormat="1" applyFont="1" applyFill="1"/>
    <xf numFmtId="1" fontId="59" fillId="56" borderId="0" xfId="63" applyNumberFormat="1" applyFill="1"/>
    <xf numFmtId="0" fontId="105" fillId="56" borderId="0" xfId="63" applyFont="1" applyFill="1"/>
    <xf numFmtId="0" fontId="59" fillId="56" borderId="0" xfId="63" applyFill="1"/>
    <xf numFmtId="1" fontId="101" fillId="56" borderId="0" xfId="63" applyNumberFormat="1" applyFont="1" applyFill="1"/>
    <xf numFmtId="0" fontId="102" fillId="79" borderId="0" xfId="63" applyFont="1" applyFill="1" applyBorder="1" applyAlignment="1">
      <alignment horizontal="center"/>
    </xf>
    <xf numFmtId="0" fontId="102" fillId="79" borderId="54" xfId="63" applyFont="1" applyFill="1" applyBorder="1" applyAlignment="1">
      <alignment horizontal="center"/>
    </xf>
    <xf numFmtId="0" fontId="107" fillId="0" borderId="0" xfId="63" applyFont="1" applyBorder="1" applyAlignment="1">
      <alignment horizontal="center"/>
    </xf>
    <xf numFmtId="0" fontId="101" fillId="83" borderId="0" xfId="63" applyFont="1" applyFill="1"/>
    <xf numFmtId="9" fontId="101" fillId="0" borderId="0" xfId="63" applyNumberFormat="1" applyFont="1"/>
    <xf numFmtId="171" fontId="59" fillId="0" borderId="0" xfId="63" applyNumberFormat="1"/>
    <xf numFmtId="169" fontId="101" fillId="0" borderId="0" xfId="63" applyNumberFormat="1" applyFont="1"/>
    <xf numFmtId="9" fontId="59" fillId="0" borderId="0" xfId="63" applyNumberFormat="1"/>
    <xf numFmtId="0" fontId="105" fillId="0" borderId="0" xfId="63" applyFont="1" applyAlignment="1">
      <alignment wrapText="1"/>
    </xf>
    <xf numFmtId="0" fontId="110" fillId="0" borderId="0" xfId="63" applyFont="1"/>
    <xf numFmtId="169" fontId="59" fillId="74" borderId="0" xfId="63" applyNumberFormat="1" applyFill="1"/>
    <xf numFmtId="3" fontId="59" fillId="0" borderId="0" xfId="63" applyNumberFormat="1"/>
    <xf numFmtId="0" fontId="111" fillId="0" borderId="0" xfId="63" applyFont="1"/>
    <xf numFmtId="9" fontId="49" fillId="63" borderId="0" xfId="0" applyNumberFormat="1" applyFont="1" applyFill="1" applyAlignment="1">
      <alignment wrapText="1"/>
    </xf>
    <xf numFmtId="0" fontId="77" fillId="71" borderId="0" xfId="0" applyFont="1" applyFill="1" applyAlignment="1">
      <alignment horizontal="left" wrapText="1" indent="1"/>
    </xf>
    <xf numFmtId="0" fontId="77" fillId="71" borderId="0" xfId="0" applyFont="1" applyFill="1" applyAlignment="1">
      <alignment wrapText="1"/>
    </xf>
    <xf numFmtId="3" fontId="77" fillId="71" borderId="0" xfId="0" applyNumberFormat="1" applyFont="1" applyFill="1" applyAlignment="1">
      <alignment wrapText="1"/>
    </xf>
    <xf numFmtId="0" fontId="0" fillId="0" borderId="0" xfId="0" applyNumberFormat="1" applyAlignment="1">
      <alignment wrapText="1"/>
    </xf>
    <xf numFmtId="3" fontId="77" fillId="65" borderId="0" xfId="0" applyNumberFormat="1" applyFont="1" applyFill="1" applyAlignment="1">
      <alignment wrapText="1"/>
    </xf>
    <xf numFmtId="1" fontId="40" fillId="77" borderId="36" xfId="65" applyNumberFormat="1" applyFont="1" applyFill="1" applyBorder="1"/>
    <xf numFmtId="1" fontId="40" fillId="63" borderId="36" xfId="65" applyNumberFormat="1" applyFont="1" applyFill="1" applyBorder="1"/>
    <xf numFmtId="1" fontId="58" fillId="77" borderId="36" xfId="65" applyNumberFormat="1" applyFont="1" applyFill="1" applyBorder="1"/>
    <xf numFmtId="1" fontId="116" fillId="63" borderId="36" xfId="65" applyNumberFormat="1" applyFont="1" applyFill="1" applyBorder="1"/>
    <xf numFmtId="1" fontId="116" fillId="63" borderId="42" xfId="65" applyNumberFormat="1" applyFont="1" applyFill="1" applyBorder="1"/>
    <xf numFmtId="1" fontId="77" fillId="77" borderId="0" xfId="0" applyNumberFormat="1" applyFont="1" applyFill="1" applyAlignment="1">
      <alignment wrapText="1"/>
    </xf>
    <xf numFmtId="1" fontId="27" fillId="0" borderId="0" xfId="0" applyNumberFormat="1" applyFont="1" applyAlignment="1">
      <alignment wrapText="1"/>
    </xf>
    <xf numFmtId="171" fontId="0" fillId="63" borderId="0" xfId="0" applyNumberFormat="1" applyFill="1" applyAlignment="1">
      <alignment wrapText="1"/>
    </xf>
    <xf numFmtId="169" fontId="73" fillId="63" borderId="0" xfId="0" applyNumberFormat="1" applyFont="1" applyFill="1" applyAlignment="1">
      <alignment wrapText="1"/>
    </xf>
    <xf numFmtId="0" fontId="9" fillId="35" borderId="21" xfId="0" applyFont="1" applyFill="1" applyBorder="1" applyAlignment="1">
      <alignment wrapText="1"/>
    </xf>
    <xf numFmtId="3" fontId="9" fillId="36" borderId="22" xfId="0" applyNumberFormat="1" applyFont="1" applyFill="1" applyBorder="1" applyAlignment="1">
      <alignment wrapText="1"/>
    </xf>
    <xf numFmtId="0" fontId="6" fillId="35" borderId="21" xfId="0" applyFont="1" applyFill="1" applyBorder="1" applyAlignment="1">
      <alignment wrapText="1"/>
    </xf>
    <xf numFmtId="3" fontId="6" fillId="36" borderId="22" xfId="0" applyNumberFormat="1" applyFont="1" applyFill="1" applyBorder="1" applyAlignment="1">
      <alignment wrapText="1"/>
    </xf>
    <xf numFmtId="3" fontId="9" fillId="36" borderId="34" xfId="0" applyNumberFormat="1" applyFont="1" applyFill="1" applyBorder="1" applyAlignment="1">
      <alignment wrapText="1"/>
    </xf>
    <xf numFmtId="0" fontId="0" fillId="0" borderId="28" xfId="0" applyBorder="1" applyAlignment="1">
      <alignment wrapText="1"/>
    </xf>
    <xf numFmtId="0" fontId="9" fillId="35" borderId="34" xfId="0" applyFont="1" applyFill="1" applyBorder="1" applyAlignment="1">
      <alignment horizontal="right" wrapText="1"/>
    </xf>
    <xf numFmtId="0" fontId="9" fillId="62" borderId="34" xfId="0" applyFont="1" applyFill="1" applyBorder="1" applyAlignment="1">
      <alignment wrapText="1"/>
    </xf>
    <xf numFmtId="0" fontId="0" fillId="71" borderId="0" xfId="0" applyFill="1" applyAlignment="1">
      <alignment wrapText="1"/>
    </xf>
    <xf numFmtId="0" fontId="27" fillId="71" borderId="0" xfId="0" applyFont="1" applyFill="1" applyAlignment="1">
      <alignment wrapText="1"/>
    </xf>
    <xf numFmtId="9" fontId="27" fillId="71" borderId="0" xfId="0" applyNumberFormat="1" applyFont="1" applyFill="1" applyAlignment="1">
      <alignment wrapText="1"/>
    </xf>
    <xf numFmtId="9" fontId="27" fillId="71" borderId="44" xfId="0" applyNumberFormat="1" applyFont="1" applyFill="1" applyBorder="1" applyAlignment="1">
      <alignment wrapText="1"/>
    </xf>
    <xf numFmtId="0" fontId="22" fillId="71" borderId="34" xfId="0" applyFont="1" applyFill="1" applyBorder="1" applyAlignment="1"/>
    <xf numFmtId="0" fontId="6" fillId="71" borderId="27" xfId="0" applyFont="1" applyFill="1" applyBorder="1" applyAlignment="1">
      <alignment wrapText="1"/>
    </xf>
    <xf numFmtId="3" fontId="27" fillId="71" borderId="27" xfId="0" applyNumberFormat="1" applyFont="1" applyFill="1" applyBorder="1" applyAlignment="1">
      <alignment wrapText="1"/>
    </xf>
    <xf numFmtId="3" fontId="27" fillId="71" borderId="45" xfId="0" applyNumberFormat="1" applyFont="1" applyFill="1" applyBorder="1" applyAlignment="1">
      <alignment wrapText="1"/>
    </xf>
    <xf numFmtId="0" fontId="18" fillId="71" borderId="0" xfId="0" applyFont="1" applyFill="1" applyAlignment="1">
      <alignment wrapText="1"/>
    </xf>
    <xf numFmtId="0" fontId="0" fillId="71" borderId="46" xfId="0" applyFill="1" applyBorder="1" applyAlignment="1">
      <alignment wrapText="1"/>
    </xf>
    <xf numFmtId="0" fontId="18" fillId="71" borderId="46" xfId="0" applyFont="1" applyFill="1" applyBorder="1" applyAlignment="1">
      <alignment wrapText="1"/>
    </xf>
    <xf numFmtId="0" fontId="18" fillId="71" borderId="34" xfId="0" applyFont="1" applyFill="1" applyBorder="1" applyAlignment="1">
      <alignment wrapText="1"/>
    </xf>
    <xf numFmtId="0" fontId="33" fillId="71" borderId="0" xfId="0" applyFont="1" applyFill="1" applyAlignment="1">
      <alignment wrapText="1"/>
    </xf>
    <xf numFmtId="0" fontId="16" fillId="71" borderId="46" xfId="0" applyFont="1" applyFill="1" applyBorder="1" applyAlignment="1">
      <alignment wrapText="1"/>
    </xf>
    <xf numFmtId="0" fontId="16" fillId="71" borderId="34" xfId="0" applyFont="1" applyFill="1" applyBorder="1" applyAlignment="1">
      <alignment wrapText="1"/>
    </xf>
    <xf numFmtId="0" fontId="79" fillId="71" borderId="0" xfId="0" applyFont="1" applyFill="1" applyAlignment="1">
      <alignment wrapText="1"/>
    </xf>
    <xf numFmtId="0" fontId="77" fillId="71" borderId="16" xfId="0" applyFont="1" applyFill="1" applyBorder="1" applyAlignment="1">
      <alignment wrapText="1"/>
    </xf>
    <xf numFmtId="3" fontId="79" fillId="71" borderId="16" xfId="0" applyNumberFormat="1" applyFont="1" applyFill="1" applyBorder="1" applyAlignment="1">
      <alignment wrapText="1"/>
    </xf>
    <xf numFmtId="0" fontId="25" fillId="71" borderId="0" xfId="0" applyFont="1" applyFill="1" applyAlignment="1">
      <alignment wrapText="1"/>
    </xf>
    <xf numFmtId="0" fontId="25" fillId="71" borderId="45" xfId="0" applyFont="1" applyFill="1" applyBorder="1" applyAlignment="1">
      <alignment wrapText="1"/>
    </xf>
    <xf numFmtId="0" fontId="46" fillId="71" borderId="0" xfId="0" applyFont="1" applyFill="1" applyAlignment="1">
      <alignment wrapText="1"/>
    </xf>
    <xf numFmtId="3" fontId="45" fillId="71" borderId="0" xfId="0" applyNumberFormat="1" applyFont="1" applyFill="1" applyAlignment="1">
      <alignment wrapText="1"/>
    </xf>
    <xf numFmtId="0" fontId="30" fillId="71" borderId="0" xfId="0" applyFont="1" applyFill="1" applyAlignment="1">
      <alignment wrapText="1"/>
    </xf>
    <xf numFmtId="0" fontId="16" fillId="71" borderId="0" xfId="0" applyFont="1" applyFill="1" applyAlignment="1">
      <alignment wrapText="1"/>
    </xf>
    <xf numFmtId="3" fontId="0" fillId="71" borderId="0" xfId="0" applyNumberFormat="1" applyFill="1" applyAlignment="1">
      <alignment wrapText="1"/>
    </xf>
    <xf numFmtId="0" fontId="7" fillId="71" borderId="0" xfId="0" applyFont="1" applyFill="1" applyAlignment="1">
      <alignment wrapText="1"/>
    </xf>
    <xf numFmtId="4" fontId="0" fillId="71" borderId="0" xfId="0" applyNumberFormat="1" applyFill="1" applyAlignment="1">
      <alignment wrapText="1"/>
    </xf>
    <xf numFmtId="164" fontId="0" fillId="71" borderId="0" xfId="0" applyNumberFormat="1" applyFill="1" applyAlignment="1">
      <alignment wrapText="1"/>
    </xf>
    <xf numFmtId="0" fontId="45" fillId="71" borderId="27" xfId="0" applyFont="1" applyFill="1" applyBorder="1" applyAlignment="1">
      <alignment wrapText="1"/>
    </xf>
    <xf numFmtId="0" fontId="0" fillId="71" borderId="27" xfId="0" applyFill="1" applyBorder="1" applyAlignment="1">
      <alignment wrapText="1"/>
    </xf>
    <xf numFmtId="164" fontId="0" fillId="71" borderId="27" xfId="0" applyNumberFormat="1" applyFill="1" applyBorder="1" applyAlignment="1">
      <alignment wrapText="1"/>
    </xf>
    <xf numFmtId="164" fontId="0" fillId="71" borderId="46" xfId="0" applyNumberFormat="1" applyFill="1" applyBorder="1" applyAlignment="1">
      <alignment wrapText="1"/>
    </xf>
    <xf numFmtId="3" fontId="0" fillId="71" borderId="46" xfId="0" applyNumberFormat="1" applyFill="1" applyBorder="1" applyAlignment="1">
      <alignment wrapText="1"/>
    </xf>
    <xf numFmtId="170" fontId="0" fillId="71" borderId="46" xfId="0" applyNumberFormat="1" applyFill="1" applyBorder="1" applyAlignment="1">
      <alignment wrapText="1"/>
    </xf>
    <xf numFmtId="0" fontId="77" fillId="71" borderId="46" xfId="0" applyFont="1" applyFill="1" applyBorder="1" applyAlignment="1">
      <alignment wrapText="1"/>
    </xf>
    <xf numFmtId="164" fontId="77" fillId="71" borderId="46" xfId="0" applyNumberFormat="1" applyFont="1" applyFill="1" applyBorder="1" applyAlignment="1">
      <alignment wrapText="1"/>
    </xf>
    <xf numFmtId="9" fontId="77" fillId="71" borderId="46" xfId="0" applyNumberFormat="1" applyFont="1" applyFill="1" applyBorder="1" applyAlignment="1">
      <alignment wrapText="1"/>
    </xf>
    <xf numFmtId="3" fontId="0" fillId="72" borderId="0" xfId="0" applyNumberFormat="1" applyFill="1" applyAlignment="1">
      <alignment wrapText="1"/>
    </xf>
    <xf numFmtId="170" fontId="77" fillId="63" borderId="0" xfId="0" applyNumberFormat="1" applyFont="1" applyFill="1" applyAlignment="1">
      <alignment wrapText="1"/>
    </xf>
    <xf numFmtId="9" fontId="0" fillId="0" borderId="0" xfId="0" applyNumberFormat="1" applyAlignment="1">
      <alignment wrapText="1"/>
    </xf>
    <xf numFmtId="170" fontId="0" fillId="0" borderId="0" xfId="0" applyNumberFormat="1" applyAlignment="1">
      <alignment wrapText="1"/>
    </xf>
    <xf numFmtId="0" fontId="9" fillId="0" borderId="0" xfId="0" applyFont="1" applyAlignment="1">
      <alignment wrapText="1"/>
    </xf>
    <xf numFmtId="169" fontId="0" fillId="0" borderId="0" xfId="0" applyNumberFormat="1" applyAlignment="1">
      <alignment wrapText="1"/>
    </xf>
    <xf numFmtId="0" fontId="0" fillId="77" borderId="0" xfId="0" applyFill="1" applyAlignment="1">
      <alignment wrapText="1"/>
    </xf>
    <xf numFmtId="9" fontId="0" fillId="77" borderId="0" xfId="0" applyNumberFormat="1" applyFill="1" applyAlignment="1">
      <alignment wrapText="1"/>
    </xf>
    <xf numFmtId="3" fontId="0" fillId="77" borderId="0" xfId="0" applyNumberFormat="1" applyFill="1" applyAlignment="1">
      <alignment wrapText="1"/>
    </xf>
    <xf numFmtId="164" fontId="0" fillId="77" borderId="0" xfId="0" applyNumberFormat="1" applyFill="1" applyAlignment="1">
      <alignment wrapText="1"/>
    </xf>
    <xf numFmtId="170" fontId="0" fillId="77" borderId="0" xfId="0" applyNumberFormat="1" applyFill="1" applyAlignment="1">
      <alignment wrapText="1"/>
    </xf>
    <xf numFmtId="1" fontId="0" fillId="77" borderId="0" xfId="0" applyNumberFormat="1" applyFill="1" applyAlignment="1">
      <alignment wrapText="1"/>
    </xf>
    <xf numFmtId="10" fontId="0" fillId="77" borderId="0" xfId="0" applyNumberFormat="1" applyFill="1" applyAlignment="1">
      <alignment wrapText="1"/>
    </xf>
    <xf numFmtId="169" fontId="0" fillId="77" borderId="0" xfId="0" applyNumberFormat="1" applyFill="1" applyAlignment="1">
      <alignment wrapText="1"/>
    </xf>
    <xf numFmtId="0" fontId="98" fillId="0" borderId="0" xfId="0" applyFont="1" applyAlignment="1">
      <alignment wrapText="1"/>
    </xf>
    <xf numFmtId="172" fontId="0" fillId="0" borderId="0" xfId="0" applyNumberFormat="1" applyAlignment="1">
      <alignment wrapText="1"/>
    </xf>
    <xf numFmtId="0" fontId="0" fillId="70" borderId="0" xfId="0" applyFill="1" applyAlignment="1">
      <alignment wrapText="1"/>
    </xf>
    <xf numFmtId="0" fontId="0" fillId="0" borderId="27" xfId="0" applyBorder="1" applyAlignment="1">
      <alignment wrapText="1"/>
    </xf>
    <xf numFmtId="164" fontId="0" fillId="0" borderId="27" xfId="0" applyNumberFormat="1" applyBorder="1" applyAlignment="1">
      <alignment wrapText="1"/>
    </xf>
    <xf numFmtId="164" fontId="0" fillId="0" borderId="2" xfId="0" applyNumberFormat="1" applyBorder="1" applyAlignment="1">
      <alignment wrapText="1"/>
    </xf>
    <xf numFmtId="0" fontId="0" fillId="0" borderId="52" xfId="0" applyBorder="1" applyAlignment="1">
      <alignment wrapText="1"/>
    </xf>
    <xf numFmtId="0" fontId="0" fillId="0" borderId="46" xfId="0" applyBorder="1" applyAlignment="1">
      <alignment wrapText="1"/>
    </xf>
    <xf numFmtId="0" fontId="9" fillId="0" borderId="46" xfId="0" applyFont="1" applyBorder="1" applyAlignment="1">
      <alignment wrapText="1"/>
    </xf>
    <xf numFmtId="0" fontId="9" fillId="0" borderId="53" xfId="0" applyFont="1" applyBorder="1" applyAlignment="1">
      <alignment wrapText="1"/>
    </xf>
    <xf numFmtId="1" fontId="0" fillId="0" borderId="46" xfId="0" applyNumberFormat="1" applyBorder="1" applyAlignment="1">
      <alignment wrapText="1"/>
    </xf>
    <xf numFmtId="1" fontId="0" fillId="0" borderId="53" xfId="0" applyNumberFormat="1" applyBorder="1" applyAlignment="1">
      <alignment wrapText="1"/>
    </xf>
    <xf numFmtId="3" fontId="0" fillId="0" borderId="46" xfId="0" applyNumberFormat="1" applyBorder="1" applyAlignment="1">
      <alignment wrapText="1"/>
    </xf>
    <xf numFmtId="3" fontId="0" fillId="0" borderId="53" xfId="0" applyNumberFormat="1" applyBorder="1" applyAlignment="1">
      <alignment wrapText="1"/>
    </xf>
    <xf numFmtId="4" fontId="0" fillId="0" borderId="46" xfId="0" applyNumberFormat="1" applyBorder="1" applyAlignment="1">
      <alignment wrapText="1"/>
    </xf>
    <xf numFmtId="0" fontId="0" fillId="0" borderId="53" xfId="0" applyBorder="1" applyAlignment="1">
      <alignment wrapText="1"/>
    </xf>
    <xf numFmtId="10" fontId="0" fillId="0" borderId="46" xfId="0" applyNumberFormat="1" applyBorder="1" applyAlignment="1">
      <alignment wrapText="1"/>
    </xf>
    <xf numFmtId="9" fontId="0" fillId="0" borderId="46" xfId="0" applyNumberFormat="1" applyBorder="1" applyAlignment="1">
      <alignment wrapText="1"/>
    </xf>
    <xf numFmtId="9" fontId="0" fillId="0" borderId="53" xfId="0" applyNumberFormat="1" applyBorder="1" applyAlignment="1">
      <alignment wrapText="1"/>
    </xf>
    <xf numFmtId="164" fontId="0" fillId="0" borderId="46" xfId="0" applyNumberFormat="1" applyBorder="1" applyAlignment="1">
      <alignment wrapText="1"/>
    </xf>
    <xf numFmtId="164" fontId="0" fillId="0" borderId="53" xfId="0" applyNumberFormat="1" applyBorder="1" applyAlignment="1">
      <alignment wrapText="1"/>
    </xf>
    <xf numFmtId="169" fontId="0" fillId="0" borderId="46" xfId="0" applyNumberFormat="1" applyBorder="1" applyAlignment="1">
      <alignment wrapText="1"/>
    </xf>
    <xf numFmtId="169" fontId="0" fillId="0" borderId="53" xfId="0" applyNumberFormat="1" applyBorder="1" applyAlignment="1">
      <alignment wrapText="1"/>
    </xf>
    <xf numFmtId="0" fontId="0" fillId="70" borderId="52" xfId="0" applyFill="1" applyBorder="1" applyAlignment="1">
      <alignment wrapText="1"/>
    </xf>
    <xf numFmtId="0" fontId="0" fillId="70" borderId="46" xfId="0" applyFill="1" applyBorder="1" applyAlignment="1">
      <alignment wrapText="1"/>
    </xf>
    <xf numFmtId="3" fontId="0" fillId="70" borderId="46" xfId="0" applyNumberFormat="1" applyFill="1" applyBorder="1" applyAlignment="1">
      <alignment wrapText="1"/>
    </xf>
    <xf numFmtId="3" fontId="0" fillId="70" borderId="53" xfId="0" applyNumberFormat="1" applyFill="1" applyBorder="1" applyAlignment="1">
      <alignment wrapText="1"/>
    </xf>
    <xf numFmtId="4" fontId="0" fillId="70" borderId="46" xfId="0" applyNumberFormat="1" applyFill="1" applyBorder="1" applyAlignment="1">
      <alignment wrapText="1"/>
    </xf>
    <xf numFmtId="0" fontId="0" fillId="70" borderId="53" xfId="0" applyFill="1" applyBorder="1" applyAlignment="1">
      <alignment wrapText="1"/>
    </xf>
    <xf numFmtId="164" fontId="0" fillId="70" borderId="46" xfId="0" applyNumberFormat="1" applyFill="1" applyBorder="1" applyAlignment="1">
      <alignment wrapText="1"/>
    </xf>
    <xf numFmtId="164" fontId="0" fillId="70" borderId="53" xfId="0" applyNumberFormat="1" applyFill="1" applyBorder="1" applyAlignment="1">
      <alignment wrapText="1"/>
    </xf>
    <xf numFmtId="170" fontId="0" fillId="70" borderId="46" xfId="0" applyNumberFormat="1" applyFill="1" applyBorder="1" applyAlignment="1">
      <alignment wrapText="1"/>
    </xf>
    <xf numFmtId="0" fontId="0" fillId="0" borderId="52" xfId="0" applyFill="1" applyBorder="1" applyAlignment="1">
      <alignment wrapText="1"/>
    </xf>
    <xf numFmtId="0" fontId="0" fillId="0" borderId="46" xfId="0" applyFill="1" applyBorder="1" applyAlignment="1">
      <alignment wrapText="1"/>
    </xf>
    <xf numFmtId="164" fontId="0" fillId="0" borderId="46" xfId="0" applyNumberFormat="1" applyFill="1" applyBorder="1" applyAlignment="1">
      <alignment wrapText="1"/>
    </xf>
    <xf numFmtId="164" fontId="0" fillId="0" borderId="53" xfId="0" applyNumberFormat="1" applyFill="1" applyBorder="1" applyAlignment="1">
      <alignment wrapText="1"/>
    </xf>
    <xf numFmtId="3" fontId="0" fillId="0" borderId="27" xfId="0" applyNumberFormat="1" applyBorder="1" applyAlignment="1">
      <alignment wrapText="1"/>
    </xf>
    <xf numFmtId="3" fontId="0" fillId="0" borderId="2" xfId="0" applyNumberFormat="1" applyBorder="1" applyAlignment="1">
      <alignment wrapText="1"/>
    </xf>
    <xf numFmtId="168" fontId="0" fillId="0" borderId="46" xfId="0" applyNumberFormat="1" applyBorder="1" applyAlignment="1">
      <alignment wrapText="1"/>
    </xf>
    <xf numFmtId="168" fontId="0" fillId="0" borderId="53" xfId="0" applyNumberFormat="1" applyBorder="1" applyAlignment="1">
      <alignment wrapText="1"/>
    </xf>
    <xf numFmtId="4" fontId="0" fillId="0" borderId="53" xfId="0" applyNumberFormat="1" applyBorder="1" applyAlignment="1">
      <alignment wrapText="1"/>
    </xf>
    <xf numFmtId="168" fontId="0" fillId="70" borderId="46" xfId="0" applyNumberFormat="1" applyFill="1" applyBorder="1" applyAlignment="1">
      <alignment wrapText="1"/>
    </xf>
    <xf numFmtId="168" fontId="0" fillId="70" borderId="53" xfId="0" applyNumberFormat="1" applyFill="1" applyBorder="1" applyAlignment="1">
      <alignment wrapText="1"/>
    </xf>
    <xf numFmtId="4" fontId="0" fillId="70" borderId="53" xfId="0" applyNumberFormat="1" applyFill="1" applyBorder="1" applyAlignment="1">
      <alignment wrapText="1"/>
    </xf>
    <xf numFmtId="1" fontId="0" fillId="71" borderId="0" xfId="0" applyNumberFormat="1" applyFill="1" applyAlignment="1">
      <alignment wrapText="1"/>
    </xf>
    <xf numFmtId="1" fontId="16" fillId="71" borderId="0" xfId="0" applyNumberFormat="1" applyFont="1" applyFill="1" applyAlignment="1">
      <alignment wrapText="1"/>
    </xf>
    <xf numFmtId="3" fontId="2" fillId="71" borderId="0" xfId="0" applyNumberFormat="1" applyFont="1" applyFill="1" applyAlignment="1">
      <alignment wrapText="1"/>
    </xf>
    <xf numFmtId="10" fontId="0" fillId="71" borderId="0" xfId="0" applyNumberFormat="1" applyFill="1" applyAlignment="1">
      <alignment wrapText="1"/>
    </xf>
    <xf numFmtId="3" fontId="41" fillId="71" borderId="0" xfId="0" applyNumberFormat="1" applyFont="1" applyFill="1" applyAlignment="1">
      <alignment wrapText="1"/>
    </xf>
    <xf numFmtId="170" fontId="0" fillId="71" borderId="0" xfId="0" applyNumberFormat="1" applyFill="1" applyAlignment="1">
      <alignment wrapText="1"/>
    </xf>
    <xf numFmtId="164" fontId="27" fillId="71" borderId="0" xfId="0" applyNumberFormat="1" applyFont="1" applyFill="1" applyAlignment="1">
      <alignment wrapText="1"/>
    </xf>
    <xf numFmtId="170" fontId="26" fillId="71" borderId="0" xfId="0" applyNumberFormat="1" applyFont="1" applyFill="1" applyAlignment="1">
      <alignment wrapText="1"/>
    </xf>
    <xf numFmtId="164" fontId="41" fillId="71" borderId="0" xfId="0" applyNumberFormat="1" applyFont="1" applyFill="1" applyAlignment="1">
      <alignment wrapText="1"/>
    </xf>
    <xf numFmtId="164" fontId="0" fillId="71" borderId="0" xfId="0" applyNumberFormat="1" applyFont="1" applyFill="1" applyAlignment="1">
      <alignment wrapText="1"/>
    </xf>
    <xf numFmtId="164" fontId="9" fillId="71" borderId="0" xfId="0" applyNumberFormat="1" applyFont="1" applyFill="1" applyAlignment="1">
      <alignment wrapText="1"/>
    </xf>
    <xf numFmtId="168" fontId="0" fillId="71" borderId="0" xfId="0" applyNumberFormat="1" applyFill="1" applyAlignment="1">
      <alignment wrapText="1"/>
    </xf>
    <xf numFmtId="164" fontId="21" fillId="71" borderId="0" xfId="0" applyNumberFormat="1" applyFont="1" applyFill="1" applyAlignment="1">
      <alignment wrapText="1"/>
    </xf>
    <xf numFmtId="3" fontId="74" fillId="71" borderId="0" xfId="0" applyNumberFormat="1" applyFont="1" applyFill="1" applyAlignment="1">
      <alignment wrapText="1"/>
    </xf>
    <xf numFmtId="0" fontId="0" fillId="71" borderId="0" xfId="0" applyFill="1" applyBorder="1" applyAlignment="1">
      <alignment wrapText="1"/>
    </xf>
    <xf numFmtId="3" fontId="0" fillId="71" borderId="0" xfId="0" applyNumberFormat="1" applyFill="1" applyBorder="1" applyAlignment="1">
      <alignment wrapText="1"/>
    </xf>
    <xf numFmtId="164" fontId="77" fillId="71" borderId="0" xfId="0" applyNumberFormat="1" applyFont="1" applyFill="1" applyAlignment="1">
      <alignment wrapText="1"/>
    </xf>
    <xf numFmtId="4" fontId="27" fillId="71" borderId="0" xfId="0" applyNumberFormat="1" applyFont="1" applyFill="1" applyAlignment="1">
      <alignment wrapText="1"/>
    </xf>
    <xf numFmtId="164" fontId="26" fillId="71" borderId="0" xfId="0" applyNumberFormat="1" applyFont="1" applyFill="1" applyAlignment="1">
      <alignment wrapText="1"/>
    </xf>
    <xf numFmtId="3" fontId="59" fillId="71" borderId="0" xfId="0" applyNumberFormat="1" applyFont="1" applyFill="1" applyAlignment="1">
      <alignment wrapText="1"/>
    </xf>
    <xf numFmtId="0" fontId="39" fillId="71" borderId="35" xfId="0" applyFont="1" applyFill="1" applyBorder="1"/>
    <xf numFmtId="1" fontId="40" fillId="71" borderId="36" xfId="0" applyNumberFormat="1" applyFont="1" applyFill="1" applyBorder="1"/>
    <xf numFmtId="169" fontId="40" fillId="71" borderId="36" xfId="0" applyNumberFormat="1" applyFont="1" applyFill="1" applyBorder="1"/>
    <xf numFmtId="169" fontId="38" fillId="71" borderId="36" xfId="0" applyNumberFormat="1" applyFont="1" applyFill="1" applyBorder="1"/>
    <xf numFmtId="3" fontId="40" fillId="71" borderId="36" xfId="0" applyNumberFormat="1" applyFont="1" applyFill="1" applyBorder="1"/>
    <xf numFmtId="9" fontId="27" fillId="85" borderId="44" xfId="0" applyNumberFormat="1" applyFont="1" applyFill="1" applyBorder="1" applyAlignment="1">
      <alignment wrapText="1"/>
    </xf>
    <xf numFmtId="3" fontId="27" fillId="85" borderId="45" xfId="0" applyNumberFormat="1" applyFont="1" applyFill="1" applyBorder="1" applyAlignment="1">
      <alignment wrapText="1"/>
    </xf>
    <xf numFmtId="0" fontId="16" fillId="85" borderId="34" xfId="0" applyFont="1" applyFill="1" applyBorder="1" applyAlignment="1">
      <alignment wrapText="1"/>
    </xf>
    <xf numFmtId="3" fontId="79" fillId="85" borderId="16" xfId="0" applyNumberFormat="1" applyFont="1" applyFill="1" applyBorder="1" applyAlignment="1">
      <alignment wrapText="1"/>
    </xf>
    <xf numFmtId="0" fontId="25" fillId="85" borderId="45" xfId="0" applyFont="1" applyFill="1" applyBorder="1" applyAlignment="1">
      <alignment wrapText="1"/>
    </xf>
    <xf numFmtId="0" fontId="0" fillId="85" borderId="0" xfId="0" applyFill="1" applyAlignment="1">
      <alignment wrapText="1"/>
    </xf>
    <xf numFmtId="3" fontId="45" fillId="85" borderId="0" xfId="0" applyNumberFormat="1" applyFont="1" applyFill="1" applyAlignment="1">
      <alignment wrapText="1"/>
    </xf>
    <xf numFmtId="3" fontId="0" fillId="85" borderId="0" xfId="0" applyNumberFormat="1" applyFill="1" applyAlignment="1">
      <alignment wrapText="1"/>
    </xf>
    <xf numFmtId="164" fontId="0" fillId="85" borderId="0" xfId="0" applyNumberFormat="1" applyFill="1" applyAlignment="1">
      <alignment wrapText="1"/>
    </xf>
    <xf numFmtId="164" fontId="0" fillId="85" borderId="27" xfId="0" applyNumberFormat="1" applyFill="1" applyBorder="1" applyAlignment="1">
      <alignment wrapText="1"/>
    </xf>
    <xf numFmtId="164" fontId="0" fillId="85" borderId="46" xfId="0" applyNumberFormat="1" applyFill="1" applyBorder="1" applyAlignment="1">
      <alignment wrapText="1"/>
    </xf>
    <xf numFmtId="3" fontId="0" fillId="85" borderId="46" xfId="0" applyNumberFormat="1" applyFill="1" applyBorder="1" applyAlignment="1">
      <alignment wrapText="1"/>
    </xf>
    <xf numFmtId="0" fontId="0" fillId="85" borderId="46" xfId="0" applyFill="1" applyBorder="1" applyAlignment="1">
      <alignment wrapText="1"/>
    </xf>
    <xf numFmtId="170" fontId="0" fillId="85" borderId="46" xfId="0" applyNumberFormat="1" applyFill="1" applyBorder="1" applyAlignment="1">
      <alignment wrapText="1"/>
    </xf>
    <xf numFmtId="164" fontId="77" fillId="85" borderId="46" xfId="0" applyNumberFormat="1" applyFont="1" applyFill="1" applyBorder="1" applyAlignment="1">
      <alignment wrapText="1"/>
    </xf>
    <xf numFmtId="10" fontId="77" fillId="85" borderId="46" xfId="0" applyNumberFormat="1" applyFont="1" applyFill="1" applyBorder="1" applyAlignment="1">
      <alignment wrapText="1"/>
    </xf>
    <xf numFmtId="4" fontId="78" fillId="85" borderId="46" xfId="0" applyNumberFormat="1" applyFont="1" applyFill="1" applyBorder="1" applyAlignment="1">
      <alignment wrapText="1"/>
    </xf>
    <xf numFmtId="164" fontId="59" fillId="85" borderId="46" xfId="0" applyNumberFormat="1" applyFont="1" applyFill="1" applyBorder="1" applyAlignment="1">
      <alignment wrapText="1"/>
    </xf>
    <xf numFmtId="164" fontId="74" fillId="85" borderId="46" xfId="0" applyNumberFormat="1" applyFont="1" applyFill="1" applyBorder="1" applyAlignment="1">
      <alignment wrapText="1"/>
    </xf>
    <xf numFmtId="3" fontId="27" fillId="85" borderId="46" xfId="0" applyNumberFormat="1" applyFont="1" applyFill="1" applyBorder="1" applyAlignment="1">
      <alignment wrapText="1"/>
    </xf>
    <xf numFmtId="164" fontId="26" fillId="85" borderId="46" xfId="0" applyNumberFormat="1" applyFont="1" applyFill="1" applyBorder="1" applyAlignment="1">
      <alignment wrapText="1"/>
    </xf>
    <xf numFmtId="164" fontId="27" fillId="85" borderId="46" xfId="0" applyNumberFormat="1" applyFont="1" applyFill="1" applyBorder="1" applyAlignment="1">
      <alignment wrapText="1"/>
    </xf>
    <xf numFmtId="164" fontId="0" fillId="85" borderId="46" xfId="0" applyNumberFormat="1" applyFont="1" applyFill="1" applyBorder="1" applyAlignment="1">
      <alignment wrapText="1"/>
    </xf>
    <xf numFmtId="164" fontId="27" fillId="85" borderId="16" xfId="0" applyNumberFormat="1" applyFont="1" applyFill="1" applyBorder="1" applyAlignment="1">
      <alignment wrapText="1"/>
    </xf>
    <xf numFmtId="170" fontId="26" fillId="85" borderId="0" xfId="0" applyNumberFormat="1" applyFont="1" applyFill="1" applyAlignment="1">
      <alignment wrapText="1"/>
    </xf>
    <xf numFmtId="164" fontId="46" fillId="85" borderId="0" xfId="0" applyNumberFormat="1" applyFont="1" applyFill="1" applyAlignment="1">
      <alignment wrapText="1"/>
    </xf>
    <xf numFmtId="164" fontId="77" fillId="85" borderId="16" xfId="0" applyNumberFormat="1" applyFont="1" applyFill="1" applyBorder="1" applyAlignment="1">
      <alignment wrapText="1"/>
    </xf>
    <xf numFmtId="164" fontId="77" fillId="85" borderId="0" xfId="0" applyNumberFormat="1" applyFont="1" applyFill="1" applyAlignment="1">
      <alignment wrapText="1"/>
    </xf>
    <xf numFmtId="164" fontId="26" fillId="85" borderId="0" xfId="0" applyNumberFormat="1" applyFont="1" applyFill="1" applyAlignment="1">
      <alignment wrapText="1"/>
    </xf>
    <xf numFmtId="4" fontId="27" fillId="85" borderId="0" xfId="0" applyNumberFormat="1" applyFont="1" applyFill="1" applyAlignment="1">
      <alignment wrapText="1"/>
    </xf>
    <xf numFmtId="168" fontId="0" fillId="85" borderId="0" xfId="0" applyNumberFormat="1" applyFill="1" applyAlignment="1">
      <alignment wrapText="1"/>
    </xf>
    <xf numFmtId="3" fontId="9" fillId="85" borderId="0" xfId="0" applyNumberFormat="1" applyFont="1" applyFill="1" applyAlignment="1">
      <alignment wrapText="1"/>
    </xf>
    <xf numFmtId="1" fontId="0" fillId="85" borderId="0" xfId="0" applyNumberFormat="1" applyFill="1" applyAlignment="1">
      <alignment wrapText="1"/>
    </xf>
    <xf numFmtId="0" fontId="0" fillId="85" borderId="0" xfId="0" applyFill="1" applyBorder="1" applyAlignment="1">
      <alignment wrapText="1"/>
    </xf>
    <xf numFmtId="3" fontId="0" fillId="85" borderId="0" xfId="0" applyNumberFormat="1" applyFill="1" applyBorder="1" applyAlignment="1">
      <alignment wrapText="1"/>
    </xf>
    <xf numFmtId="4" fontId="0" fillId="85" borderId="0" xfId="0" applyNumberFormat="1" applyFill="1" applyAlignment="1">
      <alignment wrapText="1"/>
    </xf>
    <xf numFmtId="164" fontId="27" fillId="85" borderId="0" xfId="0" applyNumberFormat="1" applyFont="1" applyFill="1" applyAlignment="1">
      <alignment wrapText="1"/>
    </xf>
    <xf numFmtId="3" fontId="27" fillId="85" borderId="0" xfId="0" applyNumberFormat="1" applyFont="1" applyFill="1" applyAlignment="1">
      <alignment wrapText="1"/>
    </xf>
    <xf numFmtId="3" fontId="3" fillId="85" borderId="0" xfId="0" applyNumberFormat="1" applyFont="1" applyFill="1" applyAlignment="1">
      <alignment wrapText="1"/>
    </xf>
    <xf numFmtId="169" fontId="0" fillId="85" borderId="0" xfId="0" applyNumberFormat="1" applyFill="1" applyAlignment="1">
      <alignment wrapText="1"/>
    </xf>
    <xf numFmtId="0" fontId="39" fillId="85" borderId="35" xfId="0" applyFont="1" applyFill="1" applyBorder="1"/>
    <xf numFmtId="1" fontId="40" fillId="85" borderId="36" xfId="0" applyNumberFormat="1" applyFont="1" applyFill="1" applyBorder="1"/>
    <xf numFmtId="169" fontId="40" fillId="85" borderId="36" xfId="0" applyNumberFormat="1" applyFont="1" applyFill="1" applyBorder="1"/>
    <xf numFmtId="3" fontId="40" fillId="85" borderId="36" xfId="0" applyNumberFormat="1" applyFont="1" applyFill="1" applyBorder="1"/>
    <xf numFmtId="1" fontId="9" fillId="85" borderId="0" xfId="0" applyNumberFormat="1" applyFont="1" applyFill="1" applyAlignment="1">
      <alignment wrapText="1"/>
    </xf>
    <xf numFmtId="169" fontId="73" fillId="85" borderId="0" xfId="0" applyNumberFormat="1" applyFont="1" applyFill="1" applyAlignment="1">
      <alignment wrapText="1"/>
    </xf>
    <xf numFmtId="3" fontId="0" fillId="35" borderId="21" xfId="0" applyNumberFormat="1" applyFill="1" applyBorder="1" applyAlignment="1">
      <alignment wrapText="1"/>
    </xf>
    <xf numFmtId="9" fontId="0" fillId="35" borderId="21" xfId="0" applyNumberFormat="1" applyFill="1" applyBorder="1" applyAlignment="1">
      <alignment wrapText="1"/>
    </xf>
    <xf numFmtId="9" fontId="0" fillId="75" borderId="21" xfId="0" applyNumberFormat="1" applyFill="1" applyBorder="1" applyAlignment="1">
      <alignment wrapText="1"/>
    </xf>
    <xf numFmtId="0" fontId="0" fillId="75" borderId="21" xfId="0" applyFill="1" applyBorder="1" applyAlignment="1">
      <alignment wrapText="1"/>
    </xf>
    <xf numFmtId="3" fontId="0" fillId="75" borderId="21" xfId="0" applyNumberFormat="1" applyFill="1" applyBorder="1" applyAlignment="1">
      <alignment wrapText="1"/>
    </xf>
    <xf numFmtId="0" fontId="0" fillId="75" borderId="0" xfId="0" applyFill="1" applyAlignment="1">
      <alignment wrapText="1"/>
    </xf>
    <xf numFmtId="3" fontId="0" fillId="0" borderId="7" xfId="0" applyNumberFormat="1" applyBorder="1" applyAlignment="1">
      <alignment wrapText="1"/>
    </xf>
    <xf numFmtId="3" fontId="0" fillId="75" borderId="0" xfId="0" applyNumberFormat="1" applyFill="1" applyAlignment="1">
      <alignment wrapText="1"/>
    </xf>
    <xf numFmtId="10" fontId="43" fillId="63" borderId="0" xfId="0" applyNumberFormat="1" applyFont="1" applyFill="1" applyAlignment="1">
      <alignment wrapText="1"/>
    </xf>
    <xf numFmtId="3" fontId="0" fillId="75" borderId="22" xfId="0" applyNumberFormat="1" applyFill="1" applyBorder="1" applyAlignment="1">
      <alignment wrapText="1"/>
    </xf>
    <xf numFmtId="0" fontId="0" fillId="75" borderId="34" xfId="0" applyFill="1" applyBorder="1" applyAlignment="1">
      <alignment wrapText="1"/>
    </xf>
    <xf numFmtId="3" fontId="0" fillId="75" borderId="34" xfId="0" applyNumberFormat="1" applyFill="1" applyBorder="1" applyAlignment="1">
      <alignment wrapText="1"/>
    </xf>
    <xf numFmtId="9" fontId="0" fillId="75" borderId="34" xfId="0" applyNumberFormat="1" applyFill="1" applyBorder="1" applyAlignment="1">
      <alignment wrapText="1"/>
    </xf>
    <xf numFmtId="3" fontId="0" fillId="75" borderId="28" xfId="0" applyNumberFormat="1" applyFill="1" applyBorder="1" applyAlignment="1">
      <alignment wrapText="1"/>
    </xf>
    <xf numFmtId="0" fontId="0" fillId="86" borderId="21" xfId="0" applyFill="1" applyBorder="1" applyAlignment="1">
      <alignment wrapText="1"/>
    </xf>
    <xf numFmtId="3" fontId="0" fillId="86" borderId="21" xfId="0" applyNumberFormat="1" applyFill="1" applyBorder="1" applyAlignment="1">
      <alignment wrapText="1"/>
    </xf>
    <xf numFmtId="9" fontId="0" fillId="86" borderId="21" xfId="0" applyNumberFormat="1" applyFill="1" applyBorder="1" applyAlignment="1">
      <alignment wrapText="1"/>
    </xf>
    <xf numFmtId="0" fontId="0" fillId="86" borderId="0" xfId="0" applyFill="1" applyAlignment="1">
      <alignment wrapText="1"/>
    </xf>
    <xf numFmtId="0" fontId="0" fillId="86" borderId="29" xfId="0" applyFill="1" applyBorder="1" applyAlignment="1">
      <alignment wrapText="1"/>
    </xf>
    <xf numFmtId="3" fontId="0" fillId="86" borderId="28" xfId="0" applyNumberFormat="1" applyFill="1" applyBorder="1" applyAlignment="1">
      <alignment wrapText="1"/>
    </xf>
    <xf numFmtId="0" fontId="0" fillId="86" borderId="31" xfId="0" applyFill="1" applyBorder="1" applyAlignment="1">
      <alignment wrapText="1"/>
    </xf>
    <xf numFmtId="0" fontId="0" fillId="86" borderId="10" xfId="0" applyFill="1" applyBorder="1" applyAlignment="1">
      <alignment wrapText="1"/>
    </xf>
    <xf numFmtId="3" fontId="0" fillId="0" borderId="20" xfId="0" applyNumberFormat="1" applyBorder="1" applyAlignment="1">
      <alignment wrapText="1"/>
    </xf>
    <xf numFmtId="3" fontId="0" fillId="86" borderId="20" xfId="0" applyNumberFormat="1" applyFill="1" applyBorder="1" applyAlignment="1">
      <alignment wrapText="1"/>
    </xf>
    <xf numFmtId="3" fontId="0" fillId="75" borderId="20" xfId="0" applyNumberFormat="1" applyFill="1" applyBorder="1" applyAlignment="1">
      <alignment wrapText="1"/>
    </xf>
    <xf numFmtId="4" fontId="0" fillId="86" borderId="0" xfId="0" applyNumberFormat="1" applyFill="1" applyAlignment="1">
      <alignment wrapText="1"/>
    </xf>
    <xf numFmtId="0" fontId="0" fillId="0" borderId="34" xfId="0" applyBorder="1" applyAlignment="1">
      <alignment wrapText="1"/>
    </xf>
    <xf numFmtId="3" fontId="0" fillId="0" borderId="34" xfId="0" applyNumberFormat="1" applyBorder="1" applyAlignment="1">
      <alignment wrapText="1"/>
    </xf>
    <xf numFmtId="0" fontId="36" fillId="0" borderId="34" xfId="0" applyFont="1" applyBorder="1" applyAlignment="1">
      <alignment wrapText="1"/>
    </xf>
    <xf numFmtId="165" fontId="10" fillId="0" borderId="34" xfId="0" applyNumberFormat="1" applyFont="1" applyBorder="1" applyAlignment="1">
      <alignment wrapText="1"/>
    </xf>
    <xf numFmtId="0" fontId="58" fillId="0" borderId="34" xfId="0" applyFont="1" applyBorder="1" applyAlignment="1">
      <alignment wrapText="1"/>
    </xf>
    <xf numFmtId="0" fontId="40" fillId="0" borderId="34" xfId="0" applyFont="1" applyBorder="1" applyAlignment="1">
      <alignment wrapText="1"/>
    </xf>
    <xf numFmtId="0" fontId="40" fillId="71" borderId="34" xfId="0" applyFont="1" applyFill="1" applyBorder="1" applyAlignment="1">
      <alignment wrapText="1"/>
    </xf>
    <xf numFmtId="0" fontId="0" fillId="0" borderId="34" xfId="0" applyFill="1" applyBorder="1" applyAlignment="1">
      <alignment wrapText="1"/>
    </xf>
    <xf numFmtId="3" fontId="0" fillId="0" borderId="34" xfId="0" applyNumberFormat="1" applyFill="1" applyBorder="1" applyAlignment="1">
      <alignment wrapText="1"/>
    </xf>
    <xf numFmtId="169" fontId="0" fillId="0" borderId="34" xfId="0" applyNumberFormat="1" applyFill="1" applyBorder="1" applyAlignment="1">
      <alignment wrapText="1"/>
    </xf>
    <xf numFmtId="1" fontId="0" fillId="0" borderId="34" xfId="0" applyNumberFormat="1" applyFill="1" applyBorder="1" applyAlignment="1">
      <alignment wrapText="1"/>
    </xf>
    <xf numFmtId="0" fontId="0" fillId="0" borderId="45" xfId="0" applyFill="1" applyBorder="1" applyAlignment="1">
      <alignment wrapText="1"/>
    </xf>
    <xf numFmtId="0" fontId="9" fillId="0" borderId="52" xfId="0" applyFont="1" applyFill="1" applyBorder="1" applyAlignment="1">
      <alignment wrapText="1"/>
    </xf>
    <xf numFmtId="0" fontId="9" fillId="0" borderId="46" xfId="0" applyFont="1" applyFill="1" applyBorder="1" applyAlignment="1">
      <alignment wrapText="1"/>
    </xf>
    <xf numFmtId="3" fontId="0" fillId="0" borderId="46" xfId="0" applyNumberFormat="1" applyFill="1" applyBorder="1" applyAlignment="1">
      <alignment wrapText="1"/>
    </xf>
    <xf numFmtId="4" fontId="0" fillId="0" borderId="46" xfId="0" applyNumberFormat="1" applyFill="1" applyBorder="1" applyAlignment="1">
      <alignment wrapText="1"/>
    </xf>
    <xf numFmtId="168" fontId="0" fillId="0" borderId="46" xfId="0" applyNumberFormat="1" applyFill="1" applyBorder="1" applyAlignment="1">
      <alignment wrapText="1"/>
    </xf>
    <xf numFmtId="1" fontId="0" fillId="0" borderId="46" xfId="0" applyNumberFormat="1" applyFill="1" applyBorder="1" applyAlignment="1">
      <alignment wrapText="1"/>
    </xf>
    <xf numFmtId="0" fontId="0" fillId="71" borderId="52" xfId="0" applyFill="1" applyBorder="1" applyAlignment="1">
      <alignment wrapText="1"/>
    </xf>
    <xf numFmtId="0" fontId="0" fillId="71" borderId="53" xfId="0" applyFill="1" applyBorder="1" applyAlignment="1">
      <alignment wrapText="1"/>
    </xf>
    <xf numFmtId="3" fontId="0" fillId="71" borderId="53" xfId="0" applyNumberFormat="1" applyFill="1" applyBorder="1" applyAlignment="1">
      <alignment wrapText="1"/>
    </xf>
    <xf numFmtId="9" fontId="0" fillId="71" borderId="46" xfId="0" applyNumberFormat="1" applyFill="1" applyBorder="1" applyAlignment="1">
      <alignment wrapText="1"/>
    </xf>
    <xf numFmtId="9" fontId="0" fillId="71" borderId="53" xfId="0" applyNumberFormat="1" applyFill="1" applyBorder="1" applyAlignment="1">
      <alignment wrapText="1"/>
    </xf>
    <xf numFmtId="164" fontId="0" fillId="71" borderId="53" xfId="0" applyNumberFormat="1" applyFill="1" applyBorder="1" applyAlignment="1">
      <alignment wrapText="1"/>
    </xf>
    <xf numFmtId="0" fontId="12" fillId="71" borderId="52" xfId="0" applyFont="1" applyFill="1" applyBorder="1" applyAlignment="1">
      <alignment wrapText="1"/>
    </xf>
    <xf numFmtId="0" fontId="12" fillId="71" borderId="46" xfId="0" applyFont="1" applyFill="1" applyBorder="1" applyAlignment="1">
      <alignment wrapText="1"/>
    </xf>
    <xf numFmtId="9" fontId="12" fillId="71" borderId="46" xfId="0" applyNumberFormat="1" applyFont="1" applyFill="1" applyBorder="1" applyAlignment="1">
      <alignment wrapText="1"/>
    </xf>
    <xf numFmtId="9" fontId="12" fillId="71" borderId="53" xfId="0" applyNumberFormat="1" applyFont="1" applyFill="1" applyBorder="1" applyAlignment="1">
      <alignment wrapText="1"/>
    </xf>
    <xf numFmtId="0" fontId="12" fillId="71" borderId="0" xfId="0" applyFont="1" applyFill="1" applyAlignment="1">
      <alignment wrapText="1"/>
    </xf>
    <xf numFmtId="4" fontId="0" fillId="71" borderId="46" xfId="0" applyNumberFormat="1" applyFill="1" applyBorder="1" applyAlignment="1">
      <alignment wrapText="1"/>
    </xf>
    <xf numFmtId="168" fontId="0" fillId="71" borderId="46" xfId="0" applyNumberFormat="1" applyFill="1" applyBorder="1" applyAlignment="1">
      <alignment wrapText="1"/>
    </xf>
    <xf numFmtId="168" fontId="0" fillId="71" borderId="53" xfId="0" applyNumberFormat="1" applyFill="1" applyBorder="1" applyAlignment="1">
      <alignment wrapText="1"/>
    </xf>
    <xf numFmtId="1" fontId="0" fillId="71" borderId="46" xfId="0" applyNumberFormat="1" applyFill="1" applyBorder="1" applyAlignment="1">
      <alignment wrapText="1"/>
    </xf>
    <xf numFmtId="1" fontId="0" fillId="71" borderId="53" xfId="0" applyNumberFormat="1" applyFill="1" applyBorder="1" applyAlignment="1">
      <alignment wrapText="1"/>
    </xf>
    <xf numFmtId="169" fontId="0" fillId="71" borderId="46" xfId="0" applyNumberFormat="1" applyFill="1" applyBorder="1" applyAlignment="1">
      <alignment wrapText="1"/>
    </xf>
    <xf numFmtId="0" fontId="0" fillId="87" borderId="52" xfId="0" applyFill="1" applyBorder="1" applyAlignment="1">
      <alignment wrapText="1"/>
    </xf>
    <xf numFmtId="0" fontId="0" fillId="87" borderId="46" xfId="0" applyFill="1" applyBorder="1" applyAlignment="1">
      <alignment wrapText="1"/>
    </xf>
    <xf numFmtId="0" fontId="0" fillId="87" borderId="53" xfId="0" applyFill="1" applyBorder="1" applyAlignment="1">
      <alignment wrapText="1"/>
    </xf>
    <xf numFmtId="0" fontId="0" fillId="87" borderId="12" xfId="0" applyFill="1" applyBorder="1" applyAlignment="1">
      <alignment wrapText="1"/>
    </xf>
    <xf numFmtId="0" fontId="0" fillId="87" borderId="27" xfId="0" applyFill="1" applyBorder="1" applyAlignment="1">
      <alignment wrapText="1"/>
    </xf>
    <xf numFmtId="3" fontId="0" fillId="87" borderId="27" xfId="0" applyNumberFormat="1" applyFill="1" applyBorder="1" applyAlignment="1">
      <alignment wrapText="1"/>
    </xf>
    <xf numFmtId="3" fontId="0" fillId="87" borderId="2" xfId="0" applyNumberFormat="1" applyFill="1" applyBorder="1" applyAlignment="1">
      <alignment wrapText="1"/>
    </xf>
    <xf numFmtId="4" fontId="0" fillId="0" borderId="27" xfId="0" applyNumberFormat="1" applyBorder="1" applyAlignment="1">
      <alignment wrapText="1"/>
    </xf>
    <xf numFmtId="9" fontId="0" fillId="87" borderId="27" xfId="0" applyNumberFormat="1" applyFill="1" applyBorder="1" applyAlignment="1">
      <alignment wrapText="1"/>
    </xf>
    <xf numFmtId="9" fontId="0" fillId="87" borderId="2" xfId="0" applyNumberFormat="1" applyFill="1" applyBorder="1" applyAlignment="1">
      <alignment wrapText="1"/>
    </xf>
    <xf numFmtId="164" fontId="0" fillId="87" borderId="27" xfId="0" applyNumberFormat="1" applyFill="1" applyBorder="1" applyAlignment="1">
      <alignment wrapText="1"/>
    </xf>
    <xf numFmtId="164" fontId="0" fillId="87" borderId="2" xfId="0" applyNumberFormat="1" applyFill="1" applyBorder="1" applyAlignment="1">
      <alignment wrapText="1"/>
    </xf>
    <xf numFmtId="0" fontId="12" fillId="87" borderId="12" xfId="0" applyFont="1" applyFill="1" applyBorder="1" applyAlignment="1">
      <alignment wrapText="1"/>
    </xf>
    <xf numFmtId="0" fontId="12" fillId="87" borderId="27" xfId="0" applyFont="1" applyFill="1" applyBorder="1" applyAlignment="1">
      <alignment wrapText="1"/>
    </xf>
    <xf numFmtId="9" fontId="12" fillId="87" borderId="27" xfId="0" applyNumberFormat="1" applyFont="1" applyFill="1" applyBorder="1" applyAlignment="1">
      <alignment wrapText="1"/>
    </xf>
    <xf numFmtId="9" fontId="12" fillId="87" borderId="2" xfId="0" applyNumberFormat="1" applyFont="1" applyFill="1" applyBorder="1" applyAlignment="1">
      <alignment wrapText="1"/>
    </xf>
    <xf numFmtId="4" fontId="0" fillId="0" borderId="2" xfId="0" applyNumberFormat="1" applyBorder="1" applyAlignment="1">
      <alignment wrapText="1"/>
    </xf>
    <xf numFmtId="168" fontId="0" fillId="87" borderId="27" xfId="0" applyNumberFormat="1" applyFill="1" applyBorder="1" applyAlignment="1">
      <alignment wrapText="1"/>
    </xf>
    <xf numFmtId="168" fontId="0" fillId="87" borderId="2" xfId="0" applyNumberFormat="1" applyFill="1" applyBorder="1" applyAlignment="1">
      <alignment wrapText="1"/>
    </xf>
    <xf numFmtId="168" fontId="0" fillId="0" borderId="27" xfId="0" applyNumberFormat="1" applyBorder="1" applyAlignment="1">
      <alignment wrapText="1"/>
    </xf>
    <xf numFmtId="168" fontId="0" fillId="0" borderId="2" xfId="0" applyNumberFormat="1" applyBorder="1" applyAlignment="1">
      <alignment wrapText="1"/>
    </xf>
    <xf numFmtId="1" fontId="0" fillId="0" borderId="27" xfId="0" applyNumberFormat="1" applyBorder="1" applyAlignment="1">
      <alignment wrapText="1"/>
    </xf>
    <xf numFmtId="1" fontId="0" fillId="0" borderId="2" xfId="0" applyNumberFormat="1" applyBorder="1" applyAlignment="1">
      <alignment wrapText="1"/>
    </xf>
    <xf numFmtId="4" fontId="0" fillId="87" borderId="27" xfId="0" applyNumberFormat="1" applyFill="1" applyBorder="1" applyAlignment="1">
      <alignment wrapText="1"/>
    </xf>
    <xf numFmtId="1" fontId="0" fillId="87" borderId="27" xfId="0" applyNumberFormat="1" applyFill="1" applyBorder="1" applyAlignment="1">
      <alignment wrapText="1"/>
    </xf>
    <xf numFmtId="1" fontId="0" fillId="87" borderId="2" xfId="0" applyNumberFormat="1" applyFill="1" applyBorder="1" applyAlignment="1">
      <alignment wrapText="1"/>
    </xf>
    <xf numFmtId="169" fontId="0" fillId="87" borderId="27" xfId="0" applyNumberFormat="1" applyFill="1" applyBorder="1" applyAlignment="1">
      <alignment wrapText="1"/>
    </xf>
    <xf numFmtId="0" fontId="0" fillId="87" borderId="2" xfId="0" applyFill="1" applyBorder="1" applyAlignment="1">
      <alignment wrapText="1"/>
    </xf>
    <xf numFmtId="0" fontId="0" fillId="0" borderId="45" xfId="0" applyBorder="1" applyAlignment="1">
      <alignment wrapText="1"/>
    </xf>
    <xf numFmtId="169" fontId="0" fillId="0" borderId="2" xfId="0" applyNumberFormat="1" applyBorder="1" applyAlignment="1">
      <alignment wrapText="1"/>
    </xf>
    <xf numFmtId="169" fontId="0" fillId="0" borderId="45" xfId="0" applyNumberFormat="1" applyBorder="1" applyAlignment="1">
      <alignment wrapText="1"/>
    </xf>
    <xf numFmtId="0" fontId="117" fillId="88" borderId="0" xfId="0" applyFont="1" applyFill="1" applyAlignment="1"/>
    <xf numFmtId="0" fontId="118" fillId="89" borderId="0" xfId="0" applyFont="1" applyFill="1" applyAlignment="1"/>
    <xf numFmtId="0" fontId="107" fillId="89" borderId="0" xfId="0" applyFont="1" applyFill="1" applyAlignment="1"/>
    <xf numFmtId="0" fontId="119" fillId="89" borderId="0" xfId="0" applyFont="1" applyFill="1" applyAlignment="1"/>
    <xf numFmtId="0" fontId="107" fillId="88" borderId="0" xfId="0" applyFont="1" applyFill="1" applyAlignment="1"/>
    <xf numFmtId="0" fontId="120" fillId="89" borderId="0" xfId="0" applyFont="1" applyFill="1" applyAlignment="1"/>
    <xf numFmtId="0" fontId="121" fillId="90" borderId="55" xfId="0" applyFont="1" applyFill="1" applyBorder="1" applyAlignment="1"/>
    <xf numFmtId="0" fontId="122" fillId="90" borderId="56" xfId="0" applyFont="1" applyFill="1" applyBorder="1" applyAlignment="1"/>
    <xf numFmtId="0" fontId="123" fillId="90" borderId="56" xfId="0" applyFont="1" applyFill="1" applyBorder="1" applyAlignment="1"/>
    <xf numFmtId="169" fontId="124" fillId="89" borderId="57" xfId="0" applyNumberFormat="1" applyFont="1" applyFill="1" applyBorder="1" applyAlignment="1"/>
    <xf numFmtId="169" fontId="118" fillId="89" borderId="58" xfId="0" applyNumberFormat="1" applyFont="1" applyFill="1" applyBorder="1" applyAlignment="1"/>
    <xf numFmtId="169" fontId="125" fillId="89" borderId="58" xfId="0" applyNumberFormat="1" applyFont="1" applyFill="1" applyBorder="1" applyAlignment="1"/>
    <xf numFmtId="169" fontId="124" fillId="90" borderId="58" xfId="0" applyNumberFormat="1" applyFont="1" applyFill="1" applyBorder="1" applyAlignment="1"/>
    <xf numFmtId="169" fontId="126" fillId="89" borderId="58" xfId="0" applyNumberFormat="1" applyFont="1" applyFill="1" applyBorder="1" applyAlignment="1"/>
    <xf numFmtId="169" fontId="125" fillId="89" borderId="58" xfId="0" applyNumberFormat="1" applyFont="1" applyFill="1" applyBorder="1" applyAlignment="1">
      <alignment horizontal="right" indent="1"/>
    </xf>
    <xf numFmtId="3" fontId="125" fillId="89" borderId="58" xfId="0" applyNumberFormat="1" applyFont="1" applyFill="1" applyBorder="1" applyAlignment="1"/>
    <xf numFmtId="3" fontId="124" fillId="90" borderId="58" xfId="0" applyNumberFormat="1" applyFont="1" applyFill="1" applyBorder="1" applyAlignment="1"/>
    <xf numFmtId="3" fontId="126" fillId="89" borderId="58" xfId="0" applyNumberFormat="1" applyFont="1" applyFill="1" applyBorder="1" applyAlignment="1"/>
    <xf numFmtId="169" fontId="127" fillId="89" borderId="59" xfId="0" applyNumberFormat="1" applyFont="1" applyFill="1" applyBorder="1" applyAlignment="1">
      <alignment horizontal="right" indent="1"/>
    </xf>
    <xf numFmtId="169" fontId="128" fillId="89" borderId="59" xfId="0" applyNumberFormat="1" applyFont="1" applyFill="1" applyBorder="1" applyAlignment="1"/>
    <xf numFmtId="3" fontId="127" fillId="89" borderId="59" xfId="0" applyNumberFormat="1" applyFont="1" applyFill="1" applyBorder="1" applyAlignment="1"/>
    <xf numFmtId="3" fontId="129" fillId="90" borderId="59" xfId="0" applyNumberFormat="1" applyFont="1" applyFill="1" applyBorder="1" applyAlignment="1"/>
    <xf numFmtId="3" fontId="130" fillId="89" borderId="59" xfId="0" applyNumberFormat="1" applyFont="1" applyFill="1" applyBorder="1" applyAlignment="1"/>
    <xf numFmtId="169" fontId="124" fillId="90" borderId="60" xfId="0" applyNumberFormat="1" applyFont="1" applyFill="1" applyBorder="1" applyAlignment="1"/>
    <xf numFmtId="169" fontId="118" fillId="90" borderId="60" xfId="0" applyNumberFormat="1" applyFont="1" applyFill="1" applyBorder="1" applyAlignment="1"/>
    <xf numFmtId="3" fontId="125" fillId="90" borderId="60" xfId="0" applyNumberFormat="1" applyFont="1" applyFill="1" applyBorder="1" applyAlignment="1"/>
    <xf numFmtId="3" fontId="124" fillId="90" borderId="60" xfId="0" applyNumberFormat="1" applyFont="1" applyFill="1" applyBorder="1" applyAlignment="1"/>
    <xf numFmtId="3" fontId="126" fillId="90" borderId="60" xfId="0" applyNumberFormat="1" applyFont="1" applyFill="1" applyBorder="1" applyAlignment="1"/>
    <xf numFmtId="169" fontId="125" fillId="89" borderId="59" xfId="0" applyNumberFormat="1" applyFont="1" applyFill="1" applyBorder="1" applyAlignment="1">
      <alignment horizontal="right" indent="1"/>
    </xf>
    <xf numFmtId="169" fontId="118" fillId="89" borderId="59" xfId="0" applyNumberFormat="1" applyFont="1" applyFill="1" applyBorder="1" applyAlignment="1"/>
    <xf numFmtId="3" fontId="125" fillId="89" borderId="59" xfId="0" applyNumberFormat="1" applyFont="1" applyFill="1" applyBorder="1" applyAlignment="1"/>
    <xf numFmtId="3" fontId="124" fillId="90" borderId="59" xfId="0" applyNumberFormat="1" applyFont="1" applyFill="1" applyBorder="1" applyAlignment="1"/>
    <xf numFmtId="3" fontId="126" fillId="89" borderId="59" xfId="0" applyNumberFormat="1" applyFont="1" applyFill="1" applyBorder="1" applyAlignment="1"/>
    <xf numFmtId="10" fontId="125" fillId="89" borderId="58" xfId="0" applyNumberFormat="1" applyFont="1" applyFill="1" applyBorder="1" applyAlignment="1"/>
    <xf numFmtId="0" fontId="131" fillId="56" borderId="0" xfId="65" applyFont="1" applyFill="1" applyBorder="1"/>
    <xf numFmtId="0" fontId="132" fillId="63" borderId="0" xfId="65" applyFont="1" applyFill="1" applyBorder="1"/>
    <xf numFmtId="0" fontId="106" fillId="63" borderId="0" xfId="65" applyFill="1" applyBorder="1"/>
    <xf numFmtId="0" fontId="133" fillId="63" borderId="0" xfId="65" applyFont="1" applyFill="1" applyBorder="1"/>
    <xf numFmtId="0" fontId="106" fillId="56" borderId="0" xfId="65" applyFill="1" applyBorder="1"/>
    <xf numFmtId="0" fontId="134" fillId="63" borderId="0" xfId="65" applyFont="1" applyFill="1" applyBorder="1"/>
    <xf numFmtId="0" fontId="135" fillId="77" borderId="61" xfId="65" applyFont="1" applyFill="1" applyBorder="1"/>
    <xf numFmtId="0" fontId="136" fillId="77" borderId="62" xfId="65" applyFont="1" applyFill="1" applyBorder="1"/>
    <xf numFmtId="0" fontId="137" fillId="77" borderId="62" xfId="65" applyFont="1" applyFill="1" applyBorder="1"/>
    <xf numFmtId="169" fontId="58" fillId="63" borderId="36" xfId="65" applyNumberFormat="1" applyFont="1" applyFill="1" applyBorder="1"/>
    <xf numFmtId="169" fontId="132" fillId="63" borderId="63" xfId="65" applyNumberFormat="1" applyFont="1" applyFill="1" applyBorder="1"/>
    <xf numFmtId="169" fontId="40" fillId="63" borderId="63" xfId="65" applyNumberFormat="1" applyFont="1" applyFill="1" applyBorder="1"/>
    <xf numFmtId="169" fontId="58" fillId="77" borderId="63" xfId="65" applyNumberFormat="1" applyFont="1" applyFill="1" applyBorder="1"/>
    <xf numFmtId="169" fontId="116" fillId="63" borderId="63" xfId="65" applyNumberFormat="1" applyFont="1" applyFill="1" applyBorder="1"/>
    <xf numFmtId="169" fontId="40" fillId="63" borderId="36" xfId="65" applyNumberFormat="1" applyFont="1" applyFill="1" applyBorder="1" applyAlignment="1">
      <alignment horizontal="right" indent="1"/>
    </xf>
    <xf numFmtId="169" fontId="132" fillId="63" borderId="36" xfId="65" applyNumberFormat="1" applyFont="1" applyFill="1" applyBorder="1"/>
    <xf numFmtId="3" fontId="40" fillId="63" borderId="36" xfId="65" applyNumberFormat="1" applyFont="1" applyFill="1" applyBorder="1"/>
    <xf numFmtId="3" fontId="58" fillId="77" borderId="36" xfId="65" applyNumberFormat="1" applyFont="1" applyFill="1" applyBorder="1"/>
    <xf numFmtId="3" fontId="116" fillId="63" borderId="36" xfId="65" applyNumberFormat="1" applyFont="1" applyFill="1" applyBorder="1"/>
    <xf numFmtId="169" fontId="138" fillId="63" borderId="38" xfId="65" applyNumberFormat="1" applyFont="1" applyFill="1" applyBorder="1" applyAlignment="1">
      <alignment horizontal="right" indent="1"/>
    </xf>
    <xf numFmtId="169" fontId="139" fillId="63" borderId="38" xfId="65" applyNumberFormat="1" applyFont="1" applyFill="1" applyBorder="1"/>
    <xf numFmtId="3" fontId="140" fillId="63" borderId="38" xfId="65" applyNumberFormat="1" applyFont="1" applyFill="1" applyBorder="1"/>
    <xf numFmtId="3" fontId="141" fillId="77" borderId="38" xfId="65" applyNumberFormat="1" applyFont="1" applyFill="1" applyBorder="1"/>
    <xf numFmtId="3" fontId="142" fillId="63" borderId="38" xfId="65" applyNumberFormat="1" applyFont="1" applyFill="1" applyBorder="1"/>
    <xf numFmtId="169" fontId="58" fillId="77" borderId="38" xfId="65" applyNumberFormat="1" applyFont="1" applyFill="1" applyBorder="1"/>
    <xf numFmtId="169" fontId="132" fillId="77" borderId="38" xfId="65" applyNumberFormat="1" applyFont="1" applyFill="1" applyBorder="1"/>
    <xf numFmtId="3" fontId="40" fillId="77" borderId="38" xfId="65" applyNumberFormat="1" applyFont="1" applyFill="1" applyBorder="1"/>
    <xf numFmtId="3" fontId="58" fillId="77" borderId="38" xfId="65" applyNumberFormat="1" applyFont="1" applyFill="1" applyBorder="1"/>
    <xf numFmtId="3" fontId="116" fillId="77" borderId="38" xfId="65" applyNumberFormat="1" applyFont="1" applyFill="1" applyBorder="1"/>
    <xf numFmtId="169" fontId="143" fillId="89" borderId="57" xfId="0" applyNumberFormat="1" applyFont="1" applyFill="1" applyBorder="1" applyAlignment="1">
      <alignment horizontal="right" indent="1"/>
    </xf>
    <xf numFmtId="169" fontId="144" fillId="89" borderId="57" xfId="0" applyNumberFormat="1" applyFont="1" applyFill="1" applyBorder="1" applyAlignment="1"/>
    <xf numFmtId="3" fontId="143" fillId="90" borderId="58" xfId="0" applyNumberFormat="1" applyFont="1" applyFill="1" applyBorder="1" applyAlignment="1"/>
    <xf numFmtId="169" fontId="143" fillId="89" borderId="58" xfId="0" applyNumberFormat="1" applyFont="1" applyFill="1" applyBorder="1" applyAlignment="1">
      <alignment horizontal="right" indent="1"/>
    </xf>
    <xf numFmtId="169" fontId="144" fillId="89" borderId="58" xfId="0" applyNumberFormat="1" applyFont="1" applyFill="1" applyBorder="1" applyAlignment="1"/>
    <xf numFmtId="3" fontId="143" fillId="89" borderId="58" xfId="0" applyNumberFormat="1" applyFont="1" applyFill="1" applyBorder="1" applyAlignment="1"/>
    <xf numFmtId="10" fontId="40" fillId="63" borderId="36" xfId="65" applyNumberFormat="1" applyFont="1" applyFill="1" applyBorder="1"/>
    <xf numFmtId="10" fontId="106" fillId="63" borderId="0" xfId="65" applyNumberFormat="1" applyFill="1" applyBorder="1"/>
    <xf numFmtId="172" fontId="0" fillId="75" borderId="0" xfId="0" applyNumberFormat="1" applyFill="1" applyAlignment="1">
      <alignment wrapText="1"/>
    </xf>
    <xf numFmtId="4" fontId="0" fillId="74" borderId="0" xfId="0" applyNumberFormat="1" applyFill="1" applyAlignment="1">
      <alignment wrapText="1"/>
    </xf>
    <xf numFmtId="2" fontId="21" fillId="63" borderId="0" xfId="0" applyNumberFormat="1" applyFont="1" applyFill="1" applyAlignment="1">
      <alignment wrapText="1"/>
    </xf>
    <xf numFmtId="0" fontId="0" fillId="63" borderId="0" xfId="0" applyFill="1" applyAlignment="1">
      <alignment horizontal="right" wrapText="1"/>
    </xf>
    <xf numFmtId="171" fontId="49" fillId="63" borderId="0" xfId="0" applyNumberFormat="1" applyFont="1" applyFill="1" applyAlignment="1">
      <alignment wrapText="1"/>
    </xf>
    <xf numFmtId="0" fontId="60" fillId="85" borderId="34" xfId="0" applyFont="1" applyFill="1" applyBorder="1" applyAlignment="1">
      <alignment wrapText="1"/>
    </xf>
    <xf numFmtId="0" fontId="125" fillId="48" borderId="64" xfId="0" applyFont="1" applyFill="1" applyBorder="1" applyAlignment="1">
      <alignment horizontal="right" vertical="center" indent="1"/>
    </xf>
    <xf numFmtId="10" fontId="125" fillId="48" borderId="64" xfId="0" applyNumberFormat="1" applyFont="1" applyFill="1" applyBorder="1" applyAlignment="1">
      <alignment horizontal="right" vertical="center"/>
    </xf>
    <xf numFmtId="0" fontId="129" fillId="48" borderId="64" xfId="0" applyFont="1" applyFill="1" applyBorder="1" applyAlignment="1">
      <alignment horizontal="right" vertical="center" indent="1"/>
    </xf>
    <xf numFmtId="10" fontId="129" fillId="48" borderId="64" xfId="0" applyNumberFormat="1" applyFont="1" applyFill="1" applyBorder="1" applyAlignment="1">
      <alignment horizontal="right" vertical="center"/>
    </xf>
    <xf numFmtId="0" fontId="143" fillId="48" borderId="64" xfId="0" applyFont="1" applyFill="1" applyBorder="1" applyAlignment="1">
      <alignment horizontal="right" vertical="center" indent="1"/>
    </xf>
    <xf numFmtId="0" fontId="125" fillId="48" borderId="64" xfId="0" applyFont="1" applyFill="1" applyBorder="1" applyAlignment="1">
      <alignment horizontal="right" vertical="center"/>
    </xf>
    <xf numFmtId="0" fontId="125" fillId="48" borderId="34" xfId="0" applyFont="1" applyFill="1" applyBorder="1" applyAlignment="1">
      <alignment horizontal="right" vertical="center" indent="1"/>
    </xf>
    <xf numFmtId="10" fontId="125" fillId="48" borderId="34" xfId="0" applyNumberFormat="1" applyFont="1" applyFill="1" applyBorder="1" applyAlignment="1">
      <alignment horizontal="right" vertical="center"/>
    </xf>
    <xf numFmtId="0" fontId="125" fillId="48" borderId="65" xfId="0" applyFont="1" applyFill="1" applyBorder="1" applyAlignment="1">
      <alignment horizontal="right" vertical="center" indent="1"/>
    </xf>
    <xf numFmtId="10" fontId="125" fillId="48" borderId="65" xfId="0" applyNumberFormat="1" applyFont="1" applyFill="1" applyBorder="1" applyAlignment="1">
      <alignment horizontal="right" vertical="center"/>
    </xf>
    <xf numFmtId="0" fontId="68" fillId="77" borderId="0" xfId="0" applyFont="1" applyFill="1" applyAlignment="1">
      <alignment wrapText="1"/>
    </xf>
    <xf numFmtId="0" fontId="0" fillId="77" borderId="34" xfId="0" applyFill="1" applyBorder="1" applyAlignment="1">
      <alignment wrapText="1"/>
    </xf>
    <xf numFmtId="3" fontId="0" fillId="77" borderId="34" xfId="0" applyNumberFormat="1" applyFill="1" applyBorder="1" applyAlignment="1">
      <alignment wrapText="1"/>
    </xf>
    <xf numFmtId="1" fontId="0" fillId="77" borderId="34" xfId="0" applyNumberFormat="1" applyFill="1" applyBorder="1" applyAlignment="1">
      <alignment wrapText="1"/>
    </xf>
    <xf numFmtId="0" fontId="23" fillId="65" borderId="0" xfId="0" applyFont="1" applyFill="1" applyAlignment="1">
      <alignment horizontal="left" wrapText="1" indent="1"/>
    </xf>
    <xf numFmtId="3" fontId="145" fillId="91" borderId="66" xfId="65" applyNumberFormat="1" applyFont="1" applyFill="1" applyBorder="1"/>
    <xf numFmtId="171" fontId="40" fillId="63" borderId="36" xfId="0" applyNumberFormat="1" applyFont="1" applyFill="1" applyBorder="1"/>
    <xf numFmtId="175" fontId="40" fillId="63" borderId="36" xfId="0" applyNumberFormat="1" applyFont="1" applyFill="1" applyBorder="1"/>
    <xf numFmtId="4" fontId="26" fillId="56" borderId="0" xfId="0" applyNumberFormat="1" applyFont="1" applyFill="1" applyAlignment="1">
      <alignment wrapText="1"/>
    </xf>
    <xf numFmtId="0" fontId="63" fillId="56" borderId="0" xfId="0" applyFont="1" applyFill="1" applyAlignment="1">
      <alignment wrapText="1"/>
    </xf>
    <xf numFmtId="0" fontId="4" fillId="0" borderId="0" xfId="0" applyFont="1" applyAlignment="1">
      <alignment wrapText="1"/>
    </xf>
    <xf numFmtId="0" fontId="32" fillId="63" borderId="0" xfId="0" applyFont="1" applyFill="1" applyAlignment="1">
      <alignment wrapText="1"/>
    </xf>
    <xf numFmtId="0" fontId="22" fillId="63" borderId="0" xfId="0" applyFont="1" applyFill="1" applyAlignment="1">
      <alignment wrapText="1"/>
    </xf>
    <xf numFmtId="0" fontId="54" fillId="0" borderId="41" xfId="0" applyFont="1" applyBorder="1" applyAlignment="1">
      <alignment horizontal="center" vertical="center" wrapText="1"/>
    </xf>
    <xf numFmtId="0" fontId="0" fillId="0" borderId="7" xfId="0" applyBorder="1" applyAlignment="1">
      <alignment shrinkToFit="1"/>
    </xf>
    <xf numFmtId="0" fontId="95" fillId="78" borderId="47" xfId="0" applyFont="1" applyFill="1" applyBorder="1" applyAlignment="1">
      <alignment horizontal="center" vertical="center" wrapText="1"/>
    </xf>
    <xf numFmtId="0" fontId="95" fillId="78" borderId="48" xfId="0" applyFont="1" applyFill="1" applyBorder="1" applyAlignment="1">
      <alignment horizontal="center" vertical="center" wrapText="1"/>
    </xf>
    <xf numFmtId="0" fontId="95" fillId="78" borderId="49" xfId="0" applyFont="1" applyFill="1" applyBorder="1" applyAlignment="1">
      <alignment horizontal="center" vertical="center" wrapText="1"/>
    </xf>
    <xf numFmtId="0" fontId="96" fillId="0" borderId="47" xfId="0" applyFont="1" applyBorder="1" applyAlignment="1">
      <alignment vertical="center" wrapText="1"/>
    </xf>
    <xf numFmtId="0" fontId="96" fillId="0" borderId="48" xfId="0" applyFont="1" applyBorder="1" applyAlignment="1">
      <alignment vertical="center" wrapText="1"/>
    </xf>
    <xf numFmtId="0" fontId="96" fillId="0" borderId="49" xfId="0" applyFont="1" applyBorder="1" applyAlignment="1">
      <alignment vertical="center" wrapText="1"/>
    </xf>
    <xf numFmtId="0" fontId="32" fillId="0" borderId="0" xfId="0" applyFont="1" applyAlignment="1">
      <alignment wrapText="1"/>
    </xf>
    <xf numFmtId="0" fontId="22" fillId="0" borderId="0" xfId="0" applyFont="1" applyAlignment="1">
      <alignment wrapText="1"/>
    </xf>
    <xf numFmtId="49" fontId="102" fillId="0" borderId="52" xfId="63" applyNumberFormat="1" applyFont="1" applyBorder="1" applyAlignment="1">
      <alignment horizontal="center"/>
    </xf>
    <xf numFmtId="49" fontId="59" fillId="0" borderId="46" xfId="63" applyNumberFormat="1" applyBorder="1" applyAlignment="1"/>
    <xf numFmtId="49" fontId="59" fillId="0" borderId="53" xfId="63" applyNumberFormat="1" applyBorder="1" applyAlignment="1"/>
    <xf numFmtId="9" fontId="101" fillId="0" borderId="34" xfId="63" applyNumberFormat="1" applyFont="1" applyBorder="1" applyAlignment="1">
      <alignment horizontal="center"/>
    </xf>
  </cellXfs>
  <cellStyles count="321">
    <cellStyle name="Calc area" xfId="66"/>
    <cellStyle name="Dezimal 2" xfId="67"/>
    <cellStyle name="Dezimal 2 2" xfId="6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Good 2" xfId="64"/>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cellStyle name="Hyperlink 2" xfId="69"/>
    <cellStyle name="Needs attention" xfId="70"/>
    <cellStyle name="Normaallaad 2" xfId="71"/>
    <cellStyle name="Normaallaad 2 2" xfId="72"/>
    <cellStyle name="Normal" xfId="0" builtinId="0"/>
    <cellStyle name="Normal 10" xfId="73"/>
    <cellStyle name="Normal 11" xfId="74"/>
    <cellStyle name="Normal 2" xfId="63"/>
    <cellStyle name="Normal 2 2" xfId="75"/>
    <cellStyle name="Normal 2 3" xfId="76"/>
    <cellStyle name="Normal 3" xfId="77"/>
    <cellStyle name="Normal 3 2" xfId="78"/>
    <cellStyle name="Normal 4" xfId="79"/>
    <cellStyle name="Normal 4 2" xfId="80"/>
    <cellStyle name="Normal 5" xfId="81"/>
    <cellStyle name="Normal 6" xfId="82"/>
    <cellStyle name="Normal 7" xfId="83"/>
    <cellStyle name="Normal 8" xfId="84"/>
    <cellStyle name="Normal 9" xfId="65"/>
    <cellStyle name="Normal 9 2" xfId="85"/>
    <cellStyle name="Percent" xfId="1" builtinId="5"/>
    <cellStyle name="Percent 2" xfId="86"/>
    <cellStyle name="Percent 3" xfId="87"/>
    <cellStyle name="Percent 4" xfId="88"/>
    <cellStyle name="Prozent 2" xfId="89"/>
    <cellStyle name="Prozent 3" xfId="90"/>
    <cellStyle name="Standard 2" xfId="91"/>
    <cellStyle name="Standard 3" xfId="92"/>
    <cellStyle name="Standard 3 2" xfId="93"/>
    <cellStyle name="Standard 4" xfId="94"/>
    <cellStyle name="User input" xfId="95"/>
    <cellStyle name="User input 2" xfId="96"/>
    <cellStyle name="User input 2 2" xfId="9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autoTitleDeleted val="1"/>
    <c:plotArea>
      <c:layout/>
      <c:barChart>
        <c:barDir val="col"/>
        <c:grouping val="clustered"/>
        <c:varyColors val="1"/>
        <c:ser>
          <c:idx val="0"/>
          <c:order val="0"/>
          <c:tx>
            <c:strRef>
              <c:f>Lähteeeldused!$C$3</c:f>
              <c:strCache>
                <c:ptCount val="1"/>
                <c:pt idx="0">
                  <c:v>2050, mln m³/a</c:v>
                </c:pt>
              </c:strCache>
            </c:strRef>
          </c:tx>
          <c:spPr>
            <a:solidFill>
              <a:srgbClr val="6AA84F"/>
            </a:solidFill>
          </c:spPr>
          <c:invertIfNegative val="1"/>
          <c:cat>
            <c:strRef>
              <c:f>Lähteeeldused!$B$4:$B$5</c:f>
              <c:strCache>
                <c:ptCount val="2"/>
                <c:pt idx="0">
                  <c:v>Biometaan</c:v>
                </c:pt>
                <c:pt idx="1">
                  <c:v>Bioetanool</c:v>
                </c:pt>
              </c:strCache>
            </c:strRef>
          </c:cat>
          <c:val>
            <c:numRef>
              <c:f>Lähteeeldused!$C$4:$C$5</c:f>
              <c:numCache>
                <c:formatCode>General</c:formatCode>
                <c:ptCount val="2"/>
                <c:pt idx="0">
                  <c:v>380</c:v>
                </c:pt>
                <c:pt idx="1">
                  <c:v>0.22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Lähteeeldused!$D$3</c:f>
              <c:strCache>
                <c:ptCount val="1"/>
                <c:pt idx="0">
                  <c:v>2050, TJ/a</c:v>
                </c:pt>
              </c:strCache>
            </c:strRef>
          </c:tx>
          <c:spPr>
            <a:solidFill>
              <a:srgbClr val="6AA84F"/>
            </a:solidFill>
          </c:spPr>
          <c:invertIfNegative val="1"/>
          <c:cat>
            <c:strRef>
              <c:f>Lähteeeldused!$B$4:$B$5</c:f>
              <c:strCache>
                <c:ptCount val="2"/>
                <c:pt idx="0">
                  <c:v>Biometaan</c:v>
                </c:pt>
                <c:pt idx="1">
                  <c:v>Bioetanool</c:v>
                </c:pt>
              </c:strCache>
            </c:strRef>
          </c:cat>
          <c:val>
            <c:numRef>
              <c:f>Lähteeeldused!$D$4:$D$5</c:f>
              <c:numCache>
                <c:formatCode>General</c:formatCode>
                <c:ptCount val="2"/>
                <c:pt idx="0">
                  <c:v>13680</c:v>
                </c:pt>
                <c:pt idx="1">
                  <c:v>4752.0000000000009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10505240"/>
        <c:axId val="210535656"/>
      </c:barChart>
      <c:catAx>
        <c:axId val="210505240"/>
        <c:scaling>
          <c:orientation val="minMax"/>
        </c:scaling>
        <c:delete val="1"/>
        <c:axPos val="b"/>
        <c:title>
          <c:tx>
            <c:rich>
              <a:bodyPr/>
              <a:lstStyle/>
              <a:p>
                <a:pPr>
                  <a:defRPr/>
                </a:pPr>
                <a:endParaRPr lang="en-US"/>
              </a:p>
            </c:rich>
          </c:tx>
          <c:layout/>
          <c:overlay val="0"/>
        </c:title>
        <c:numFmt formatCode="General" sourceLinked="0"/>
        <c:majorTickMark val="cross"/>
        <c:minorTickMark val="cross"/>
        <c:tickLblPos val="nextTo"/>
        <c:crossAx val="210535656"/>
        <c:crosses val="autoZero"/>
        <c:auto val="1"/>
        <c:lblAlgn val="ctr"/>
        <c:lblOffset val="100"/>
        <c:noMultiLvlLbl val="1"/>
      </c:catAx>
      <c:valAx>
        <c:axId val="210535656"/>
        <c:scaling>
          <c:orientation val="minMax"/>
        </c:scaling>
        <c:delete val="0"/>
        <c:axPos val="l"/>
        <c:majorGridlines/>
        <c:title>
          <c:tx>
            <c:rich>
              <a:bodyPr/>
              <a:lstStyle/>
              <a:p>
                <a:pPr>
                  <a:defRPr/>
                </a:pPr>
                <a:r>
                  <a:rPr lang="en-US"/>
                  <a:t>Potentsiaal, mln m³/a</a:t>
                </a:r>
              </a:p>
            </c:rich>
          </c:tx>
          <c:layout/>
          <c:overlay val="0"/>
        </c:title>
        <c:numFmt formatCode="General" sourceLinked="1"/>
        <c:majorTickMark val="cross"/>
        <c:minorTickMark val="cross"/>
        <c:tickLblPos val="nextTo"/>
        <c:spPr>
          <a:ln w="47625">
            <a:noFill/>
          </a:ln>
        </c:spPr>
        <c:txPr>
          <a:bodyPr/>
          <a:lstStyle/>
          <a:p>
            <a:pPr>
              <a:defRPr/>
            </a:pPr>
            <a:endParaRPr lang="et-EE"/>
          </a:p>
        </c:txPr>
        <c:crossAx val="210505240"/>
        <c:crosses val="autoZero"/>
        <c:crossBetween val="between"/>
      </c:valAx>
    </c:plotArea>
    <c:legend>
      <c:legendPos val="t"/>
      <c:layout/>
      <c:overlay val="0"/>
    </c:legend>
    <c:plotVisOnly val="1"/>
    <c:dispBlanksAs val="zero"/>
    <c:showDLblsOverMax val="1"/>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Sheet2!$C$2</c:f>
              <c:strCache>
                <c:ptCount val="1"/>
                <c:pt idx="0">
                  <c:v>MAXI mln Nm3</c:v>
                </c:pt>
              </c:strCache>
            </c:strRef>
          </c:tx>
          <c:marker>
            <c:symbol val="none"/>
          </c:marker>
          <c:cat>
            <c:numRef>
              <c:f>Sheet2!$D$1:$L$1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Sheet2!$D$2:$L$2</c:f>
              <c:numCache>
                <c:formatCode>General</c:formatCode>
                <c:ptCount val="9"/>
                <c:pt idx="0">
                  <c:v>1</c:v>
                </c:pt>
                <c:pt idx="1">
                  <c:v>30</c:v>
                </c:pt>
                <c:pt idx="2">
                  <c:v>155</c:v>
                </c:pt>
                <c:pt idx="3">
                  <c:v>200</c:v>
                </c:pt>
                <c:pt idx="4">
                  <c:v>263</c:v>
                </c:pt>
                <c:pt idx="5">
                  <c:v>300</c:v>
                </c:pt>
                <c:pt idx="6">
                  <c:v>324</c:v>
                </c:pt>
                <c:pt idx="7">
                  <c:v>350</c:v>
                </c:pt>
                <c:pt idx="8">
                  <c:v>370.8</c:v>
                </c:pt>
              </c:numCache>
            </c:numRef>
          </c:val>
          <c:smooth val="0"/>
        </c:ser>
        <c:ser>
          <c:idx val="1"/>
          <c:order val="1"/>
          <c:tx>
            <c:strRef>
              <c:f>Sheet2!$C$4</c:f>
              <c:strCache>
                <c:ptCount val="1"/>
                <c:pt idx="0">
                  <c:v>VÄHESEKKUV, mln Nm3 </c:v>
                </c:pt>
              </c:strCache>
            </c:strRef>
          </c:tx>
          <c:marker>
            <c:symbol val="none"/>
          </c:marker>
          <c:cat>
            <c:numRef>
              <c:f>Sheet2!$D$1:$L$1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Sheet2!$D$4:$L$4</c:f>
              <c:numCache>
                <c:formatCode>0</c:formatCode>
                <c:ptCount val="9"/>
                <c:pt idx="0">
                  <c:v>0</c:v>
                </c:pt>
                <c:pt idx="1">
                  <c:v>17.611111111111111</c:v>
                </c:pt>
                <c:pt idx="2">
                  <c:v>35.222222222222221</c:v>
                </c:pt>
                <c:pt idx="3">
                  <c:v>86</c:v>
                </c:pt>
                <c:pt idx="4">
                  <c:v>136.77777777777777</c:v>
                </c:pt>
                <c:pt idx="5">
                  <c:v>140.75</c:v>
                </c:pt>
                <c:pt idx="6">
                  <c:v>144.75</c:v>
                </c:pt>
                <c:pt idx="7">
                  <c:v>146.74999999999997</c:v>
                </c:pt>
                <c:pt idx="8">
                  <c:v>152.75</c:v>
                </c:pt>
              </c:numCache>
            </c:numRef>
          </c:val>
          <c:smooth val="0"/>
        </c:ser>
        <c:ser>
          <c:idx val="2"/>
          <c:order val="2"/>
          <c:tx>
            <c:strRef>
              <c:f>Sheet2!$C$5</c:f>
              <c:strCache>
                <c:ptCount val="1"/>
                <c:pt idx="0">
                  <c:v>MITTESEKKUVAD, mln Nm3</c:v>
                </c:pt>
              </c:strCache>
            </c:strRef>
          </c:tx>
          <c:marker>
            <c:symbol val="none"/>
          </c:marker>
          <c:cat>
            <c:numRef>
              <c:f>Sheet2!$D$1:$L$1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Sheet2!$D$5:$L$5</c:f>
              <c:numCache>
                <c:formatCode>General</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smooth val="0"/>
        <c:axId val="225477784"/>
        <c:axId val="225478176"/>
      </c:lineChart>
      <c:catAx>
        <c:axId val="225477784"/>
        <c:scaling>
          <c:orientation val="minMax"/>
        </c:scaling>
        <c:delete val="0"/>
        <c:axPos val="b"/>
        <c:numFmt formatCode="General" sourceLinked="1"/>
        <c:majorTickMark val="out"/>
        <c:minorTickMark val="none"/>
        <c:tickLblPos val="nextTo"/>
        <c:crossAx val="225478176"/>
        <c:crosses val="autoZero"/>
        <c:auto val="1"/>
        <c:lblAlgn val="ctr"/>
        <c:lblOffset val="100"/>
        <c:noMultiLvlLbl val="0"/>
      </c:catAx>
      <c:valAx>
        <c:axId val="225478176"/>
        <c:scaling>
          <c:orientation val="minMax"/>
        </c:scaling>
        <c:delete val="0"/>
        <c:axPos val="l"/>
        <c:majorGridlines/>
        <c:numFmt formatCode="General" sourceLinked="1"/>
        <c:majorTickMark val="out"/>
        <c:minorTickMark val="none"/>
        <c:tickLblPos val="nextTo"/>
        <c:crossAx val="22547778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Sheet2!$M$16</c:f>
              <c:strCache>
                <c:ptCount val="1"/>
                <c:pt idx="0">
                  <c:v>Biometaani Kodumaine tarbimine transpordis mln Nm3</c:v>
                </c:pt>
              </c:strCache>
            </c:strRef>
          </c:tx>
          <c:invertIfNegative val="0"/>
          <c:cat>
            <c:numRef>
              <c:f>Sheet2!$N$15:$V$15</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Sheet2!$N$16:$V$16</c:f>
              <c:numCache>
                <c:formatCode>#,##0</c:formatCode>
                <c:ptCount val="9"/>
                <c:pt idx="0">
                  <c:v>1</c:v>
                </c:pt>
                <c:pt idx="1">
                  <c:v>26.944444444444443</c:v>
                </c:pt>
                <c:pt idx="2">
                  <c:v>53.888888888888886</c:v>
                </c:pt>
                <c:pt idx="3">
                  <c:v>108.16666666666666</c:v>
                </c:pt>
                <c:pt idx="4">
                  <c:v>162.44444444444443</c:v>
                </c:pt>
                <c:pt idx="5">
                  <c:v>156.94444444444443</c:v>
                </c:pt>
                <c:pt idx="6">
                  <c:v>151.41666666666666</c:v>
                </c:pt>
                <c:pt idx="7">
                  <c:v>148.66666666666669</c:v>
                </c:pt>
                <c:pt idx="8">
                  <c:v>140.41666666666666</c:v>
                </c:pt>
              </c:numCache>
            </c:numRef>
          </c:val>
        </c:ser>
        <c:ser>
          <c:idx val="1"/>
          <c:order val="1"/>
          <c:tx>
            <c:strRef>
              <c:f>Sheet2!$M$17</c:f>
              <c:strCache>
                <c:ptCount val="1"/>
                <c:pt idx="0">
                  <c:v>Biometaani Eksport mln Nm3</c:v>
                </c:pt>
              </c:strCache>
            </c:strRef>
          </c:tx>
          <c:invertIfNegative val="0"/>
          <c:cat>
            <c:numRef>
              <c:f>Sheet2!$N$15:$V$15</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Sheet2!$N$17:$V$17</c:f>
              <c:numCache>
                <c:formatCode>#,##0</c:formatCode>
                <c:ptCount val="9"/>
                <c:pt idx="0">
                  <c:v>0</c:v>
                </c:pt>
                <c:pt idx="1">
                  <c:v>3.0555555555555571</c:v>
                </c:pt>
                <c:pt idx="2">
                  <c:v>101.11111111111111</c:v>
                </c:pt>
                <c:pt idx="3">
                  <c:v>91.833333333333343</c:v>
                </c:pt>
                <c:pt idx="4">
                  <c:v>100.55555555555557</c:v>
                </c:pt>
                <c:pt idx="5">
                  <c:v>143.05555555555557</c:v>
                </c:pt>
                <c:pt idx="6">
                  <c:v>172.58333333333334</c:v>
                </c:pt>
                <c:pt idx="7">
                  <c:v>201.33333333333331</c:v>
                </c:pt>
                <c:pt idx="8">
                  <c:v>230.38333333333335</c:v>
                </c:pt>
              </c:numCache>
            </c:numRef>
          </c:val>
        </c:ser>
        <c:dLbls>
          <c:showLegendKey val="0"/>
          <c:showVal val="0"/>
          <c:showCatName val="0"/>
          <c:showSerName val="0"/>
          <c:showPercent val="0"/>
          <c:showBubbleSize val="0"/>
        </c:dLbls>
        <c:gapWidth val="150"/>
        <c:overlap val="100"/>
        <c:axId val="225478960"/>
        <c:axId val="225479352"/>
      </c:barChart>
      <c:catAx>
        <c:axId val="225478960"/>
        <c:scaling>
          <c:orientation val="minMax"/>
        </c:scaling>
        <c:delete val="0"/>
        <c:axPos val="b"/>
        <c:numFmt formatCode="General" sourceLinked="1"/>
        <c:majorTickMark val="out"/>
        <c:minorTickMark val="none"/>
        <c:tickLblPos val="nextTo"/>
        <c:crossAx val="225479352"/>
        <c:crosses val="autoZero"/>
        <c:auto val="1"/>
        <c:lblAlgn val="ctr"/>
        <c:lblOffset val="100"/>
        <c:noMultiLvlLbl val="0"/>
      </c:catAx>
      <c:valAx>
        <c:axId val="225479352"/>
        <c:scaling>
          <c:orientation val="minMax"/>
        </c:scaling>
        <c:delete val="0"/>
        <c:axPos val="l"/>
        <c:majorGridlines/>
        <c:numFmt formatCode="#,##0" sourceLinked="1"/>
        <c:majorTickMark val="out"/>
        <c:minorTickMark val="none"/>
        <c:tickLblPos val="nextTo"/>
        <c:crossAx val="225478960"/>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3"/>
          <c:order val="3"/>
          <c:tx>
            <c:strRef>
              <c:f>Sheet2!$C$6</c:f>
              <c:strCache>
                <c:ptCount val="1"/>
                <c:pt idx="0">
                  <c:v>Bioetanool VÄHESEKKUV  mln l</c:v>
                </c:pt>
              </c:strCache>
            </c:strRef>
          </c:tx>
          <c:invertIfNegative val="0"/>
          <c:cat>
            <c:numRef>
              <c:f>Sheet2!$D$1:$L$1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Sheet2!$D$6:$L$6</c:f>
              <c:numCache>
                <c:formatCode>General</c:formatCode>
                <c:ptCount val="9"/>
                <c:pt idx="0">
                  <c:v>0</c:v>
                </c:pt>
                <c:pt idx="1">
                  <c:v>0</c:v>
                </c:pt>
                <c:pt idx="2">
                  <c:v>123</c:v>
                </c:pt>
                <c:pt idx="3">
                  <c:v>123</c:v>
                </c:pt>
              </c:numCache>
            </c:numRef>
          </c:val>
        </c:ser>
        <c:dLbls>
          <c:showLegendKey val="0"/>
          <c:showVal val="0"/>
          <c:showCatName val="0"/>
          <c:showSerName val="0"/>
          <c:showPercent val="0"/>
          <c:showBubbleSize val="0"/>
        </c:dLbls>
        <c:gapWidth val="150"/>
        <c:axId val="225480136"/>
        <c:axId val="225942704"/>
      </c:barChart>
      <c:lineChart>
        <c:grouping val="standard"/>
        <c:varyColors val="0"/>
        <c:ser>
          <c:idx val="0"/>
          <c:order val="0"/>
          <c:tx>
            <c:strRef>
              <c:f>Sheet2!$C$2</c:f>
              <c:strCache>
                <c:ptCount val="1"/>
                <c:pt idx="0">
                  <c:v>MAXI mln Nm3</c:v>
                </c:pt>
              </c:strCache>
            </c:strRef>
          </c:tx>
          <c:cat>
            <c:numRef>
              <c:f>Sheet2!$D$1:$L$1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Sheet2!$D$2:$L$2</c:f>
              <c:numCache>
                <c:formatCode>General</c:formatCode>
                <c:ptCount val="9"/>
                <c:pt idx="0">
                  <c:v>1</c:v>
                </c:pt>
                <c:pt idx="1">
                  <c:v>30</c:v>
                </c:pt>
                <c:pt idx="2">
                  <c:v>155</c:v>
                </c:pt>
                <c:pt idx="3">
                  <c:v>200</c:v>
                </c:pt>
                <c:pt idx="4">
                  <c:v>263</c:v>
                </c:pt>
                <c:pt idx="5">
                  <c:v>300</c:v>
                </c:pt>
                <c:pt idx="6">
                  <c:v>324</c:v>
                </c:pt>
                <c:pt idx="7">
                  <c:v>350</c:v>
                </c:pt>
                <c:pt idx="8">
                  <c:v>370.8</c:v>
                </c:pt>
              </c:numCache>
            </c:numRef>
          </c:val>
          <c:smooth val="0"/>
        </c:ser>
        <c:ser>
          <c:idx val="1"/>
          <c:order val="1"/>
          <c:tx>
            <c:strRef>
              <c:f>Sheet2!$C$4</c:f>
              <c:strCache>
                <c:ptCount val="1"/>
                <c:pt idx="0">
                  <c:v>VÄHESEKKUV, mln Nm3 </c:v>
                </c:pt>
              </c:strCache>
            </c:strRef>
          </c:tx>
          <c:marker>
            <c:symbol val="none"/>
          </c:marker>
          <c:cat>
            <c:numRef>
              <c:f>Sheet2!$D$1:$L$1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Sheet2!$D$4:$L$4</c:f>
              <c:numCache>
                <c:formatCode>0</c:formatCode>
                <c:ptCount val="9"/>
                <c:pt idx="0">
                  <c:v>0</c:v>
                </c:pt>
                <c:pt idx="1">
                  <c:v>17.611111111111111</c:v>
                </c:pt>
                <c:pt idx="2">
                  <c:v>35.222222222222221</c:v>
                </c:pt>
                <c:pt idx="3">
                  <c:v>86</c:v>
                </c:pt>
                <c:pt idx="4">
                  <c:v>136.77777777777777</c:v>
                </c:pt>
                <c:pt idx="5">
                  <c:v>140.75</c:v>
                </c:pt>
                <c:pt idx="6">
                  <c:v>144.75</c:v>
                </c:pt>
                <c:pt idx="7">
                  <c:v>146.74999999999997</c:v>
                </c:pt>
                <c:pt idx="8">
                  <c:v>152.75</c:v>
                </c:pt>
              </c:numCache>
            </c:numRef>
          </c:val>
          <c:smooth val="0"/>
        </c:ser>
        <c:ser>
          <c:idx val="2"/>
          <c:order val="2"/>
          <c:tx>
            <c:strRef>
              <c:f>Sheet2!$C$5</c:f>
              <c:strCache>
                <c:ptCount val="1"/>
                <c:pt idx="0">
                  <c:v>MITTESEKKUVAD, mln Nm3</c:v>
                </c:pt>
              </c:strCache>
            </c:strRef>
          </c:tx>
          <c:cat>
            <c:numRef>
              <c:f>Sheet2!$D$1:$L$1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Sheet2!$D$5:$L$5</c:f>
              <c:numCache>
                <c:formatCode>General</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225480136"/>
        <c:axId val="225942704"/>
      </c:lineChart>
      <c:catAx>
        <c:axId val="225480136"/>
        <c:scaling>
          <c:orientation val="minMax"/>
        </c:scaling>
        <c:delete val="0"/>
        <c:axPos val="b"/>
        <c:numFmt formatCode="General" sourceLinked="1"/>
        <c:majorTickMark val="out"/>
        <c:minorTickMark val="none"/>
        <c:tickLblPos val="nextTo"/>
        <c:crossAx val="225942704"/>
        <c:crosses val="autoZero"/>
        <c:auto val="1"/>
        <c:lblAlgn val="ctr"/>
        <c:lblOffset val="100"/>
        <c:noMultiLvlLbl val="0"/>
      </c:catAx>
      <c:valAx>
        <c:axId val="225942704"/>
        <c:scaling>
          <c:orientation val="minMax"/>
        </c:scaling>
        <c:delete val="0"/>
        <c:axPos val="l"/>
        <c:majorGridlines/>
        <c:numFmt formatCode="General" sourceLinked="1"/>
        <c:majorTickMark val="out"/>
        <c:minorTickMark val="none"/>
        <c:tickLblPos val="nextTo"/>
        <c:crossAx val="22548013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3"/>
          <c:order val="3"/>
          <c:tx>
            <c:strRef>
              <c:f>Sheet2!$C$6</c:f>
              <c:strCache>
                <c:ptCount val="1"/>
                <c:pt idx="0">
                  <c:v>Bioetanool VÄHESEKKUV  mln l</c:v>
                </c:pt>
              </c:strCache>
            </c:strRef>
          </c:tx>
          <c:invertIfNegative val="0"/>
          <c:cat>
            <c:numRef>
              <c:f>Sheet2!$D$1:$K$1</c:f>
              <c:numCache>
                <c:formatCode>General</c:formatCode>
                <c:ptCount val="8"/>
                <c:pt idx="0">
                  <c:v>2010</c:v>
                </c:pt>
                <c:pt idx="1">
                  <c:v>2015</c:v>
                </c:pt>
                <c:pt idx="2">
                  <c:v>2020</c:v>
                </c:pt>
                <c:pt idx="3">
                  <c:v>2025</c:v>
                </c:pt>
                <c:pt idx="4">
                  <c:v>2030</c:v>
                </c:pt>
                <c:pt idx="5">
                  <c:v>2035</c:v>
                </c:pt>
                <c:pt idx="6">
                  <c:v>2040</c:v>
                </c:pt>
                <c:pt idx="7">
                  <c:v>2045</c:v>
                </c:pt>
              </c:numCache>
            </c:numRef>
          </c:cat>
          <c:val>
            <c:numRef>
              <c:f>Sheet2!$D$6:$K$6</c:f>
              <c:numCache>
                <c:formatCode>General</c:formatCode>
                <c:ptCount val="8"/>
                <c:pt idx="0">
                  <c:v>0</c:v>
                </c:pt>
                <c:pt idx="1">
                  <c:v>0</c:v>
                </c:pt>
                <c:pt idx="2">
                  <c:v>123</c:v>
                </c:pt>
                <c:pt idx="3">
                  <c:v>123</c:v>
                </c:pt>
              </c:numCache>
            </c:numRef>
          </c:val>
        </c:ser>
        <c:ser>
          <c:idx val="4"/>
          <c:order val="4"/>
          <c:tx>
            <c:strRef>
              <c:f>Sheet2!$C$7</c:f>
              <c:strCache>
                <c:ptCount val="1"/>
                <c:pt idx="0">
                  <c:v>Bioetanool MAXI mln l</c:v>
                </c:pt>
              </c:strCache>
            </c:strRef>
          </c:tx>
          <c:invertIfNegative val="0"/>
          <c:cat>
            <c:numRef>
              <c:f>Sheet2!$D$1:$K$1</c:f>
              <c:numCache>
                <c:formatCode>General</c:formatCode>
                <c:ptCount val="8"/>
                <c:pt idx="0">
                  <c:v>2010</c:v>
                </c:pt>
                <c:pt idx="1">
                  <c:v>2015</c:v>
                </c:pt>
                <c:pt idx="2">
                  <c:v>2020</c:v>
                </c:pt>
                <c:pt idx="3">
                  <c:v>2025</c:v>
                </c:pt>
                <c:pt idx="4">
                  <c:v>2030</c:v>
                </c:pt>
                <c:pt idx="5">
                  <c:v>2035</c:v>
                </c:pt>
                <c:pt idx="6">
                  <c:v>2040</c:v>
                </c:pt>
                <c:pt idx="7">
                  <c:v>2045</c:v>
                </c:pt>
              </c:numCache>
            </c:numRef>
          </c:cat>
          <c:val>
            <c:numRef>
              <c:f>Sheet2!$D$7:$K$7</c:f>
              <c:numCache>
                <c:formatCode>General</c:formatCode>
                <c:ptCount val="8"/>
                <c:pt idx="4">
                  <c:v>271</c:v>
                </c:pt>
                <c:pt idx="5">
                  <c:v>271</c:v>
                </c:pt>
                <c:pt idx="6">
                  <c:v>271</c:v>
                </c:pt>
                <c:pt idx="7">
                  <c:v>271</c:v>
                </c:pt>
              </c:numCache>
            </c:numRef>
          </c:val>
        </c:ser>
        <c:dLbls>
          <c:showLegendKey val="0"/>
          <c:showVal val="0"/>
          <c:showCatName val="0"/>
          <c:showSerName val="0"/>
          <c:showPercent val="0"/>
          <c:showBubbleSize val="0"/>
        </c:dLbls>
        <c:gapWidth val="150"/>
        <c:axId val="225943488"/>
        <c:axId val="225943880"/>
      </c:barChart>
      <c:lineChart>
        <c:grouping val="standard"/>
        <c:varyColors val="0"/>
        <c:ser>
          <c:idx val="0"/>
          <c:order val="0"/>
          <c:tx>
            <c:strRef>
              <c:f>Sheet2!$C$2</c:f>
              <c:strCache>
                <c:ptCount val="1"/>
                <c:pt idx="0">
                  <c:v>MAXI mln Nm3</c:v>
                </c:pt>
              </c:strCache>
            </c:strRef>
          </c:tx>
          <c:marker>
            <c:symbol val="none"/>
          </c:marker>
          <c:cat>
            <c:numRef>
              <c:f>Sheet2!$D$1:$K$1</c:f>
              <c:numCache>
                <c:formatCode>General</c:formatCode>
                <c:ptCount val="8"/>
                <c:pt idx="0">
                  <c:v>2010</c:v>
                </c:pt>
                <c:pt idx="1">
                  <c:v>2015</c:v>
                </c:pt>
                <c:pt idx="2">
                  <c:v>2020</c:v>
                </c:pt>
                <c:pt idx="3">
                  <c:v>2025</c:v>
                </c:pt>
                <c:pt idx="4">
                  <c:v>2030</c:v>
                </c:pt>
                <c:pt idx="5">
                  <c:v>2035</c:v>
                </c:pt>
                <c:pt idx="6">
                  <c:v>2040</c:v>
                </c:pt>
                <c:pt idx="7">
                  <c:v>2045</c:v>
                </c:pt>
              </c:numCache>
            </c:numRef>
          </c:cat>
          <c:val>
            <c:numRef>
              <c:f>Sheet2!$D$2:$K$2</c:f>
              <c:numCache>
                <c:formatCode>General</c:formatCode>
                <c:ptCount val="8"/>
                <c:pt idx="0">
                  <c:v>1</c:v>
                </c:pt>
                <c:pt idx="1">
                  <c:v>30</c:v>
                </c:pt>
                <c:pt idx="2">
                  <c:v>155</c:v>
                </c:pt>
                <c:pt idx="3">
                  <c:v>200</c:v>
                </c:pt>
                <c:pt idx="4">
                  <c:v>263</c:v>
                </c:pt>
                <c:pt idx="5">
                  <c:v>300</c:v>
                </c:pt>
                <c:pt idx="6">
                  <c:v>324</c:v>
                </c:pt>
                <c:pt idx="7">
                  <c:v>350</c:v>
                </c:pt>
              </c:numCache>
            </c:numRef>
          </c:val>
          <c:smooth val="0"/>
        </c:ser>
        <c:ser>
          <c:idx val="1"/>
          <c:order val="1"/>
          <c:tx>
            <c:strRef>
              <c:f>Sheet2!$C$4</c:f>
              <c:strCache>
                <c:ptCount val="1"/>
                <c:pt idx="0">
                  <c:v>VÄHESEKKUV, mln Nm3 </c:v>
                </c:pt>
              </c:strCache>
            </c:strRef>
          </c:tx>
          <c:marker>
            <c:symbol val="none"/>
          </c:marker>
          <c:cat>
            <c:numRef>
              <c:f>Sheet2!$D$1:$K$1</c:f>
              <c:numCache>
                <c:formatCode>General</c:formatCode>
                <c:ptCount val="8"/>
                <c:pt idx="0">
                  <c:v>2010</c:v>
                </c:pt>
                <c:pt idx="1">
                  <c:v>2015</c:v>
                </c:pt>
                <c:pt idx="2">
                  <c:v>2020</c:v>
                </c:pt>
                <c:pt idx="3">
                  <c:v>2025</c:v>
                </c:pt>
                <c:pt idx="4">
                  <c:v>2030</c:v>
                </c:pt>
                <c:pt idx="5">
                  <c:v>2035</c:v>
                </c:pt>
                <c:pt idx="6">
                  <c:v>2040</c:v>
                </c:pt>
                <c:pt idx="7">
                  <c:v>2045</c:v>
                </c:pt>
              </c:numCache>
            </c:numRef>
          </c:cat>
          <c:val>
            <c:numRef>
              <c:f>Sheet2!$D$4:$K$4</c:f>
              <c:numCache>
                <c:formatCode>0</c:formatCode>
                <c:ptCount val="8"/>
                <c:pt idx="0">
                  <c:v>0</c:v>
                </c:pt>
                <c:pt idx="1">
                  <c:v>17.611111111111111</c:v>
                </c:pt>
                <c:pt idx="2">
                  <c:v>35.222222222222221</c:v>
                </c:pt>
                <c:pt idx="3">
                  <c:v>86</c:v>
                </c:pt>
                <c:pt idx="4">
                  <c:v>136.77777777777777</c:v>
                </c:pt>
                <c:pt idx="5">
                  <c:v>140.75</c:v>
                </c:pt>
                <c:pt idx="6">
                  <c:v>144.75</c:v>
                </c:pt>
                <c:pt idx="7">
                  <c:v>146.74999999999997</c:v>
                </c:pt>
              </c:numCache>
            </c:numRef>
          </c:val>
          <c:smooth val="0"/>
        </c:ser>
        <c:ser>
          <c:idx val="2"/>
          <c:order val="2"/>
          <c:tx>
            <c:strRef>
              <c:f>Sheet2!$C$5</c:f>
              <c:strCache>
                <c:ptCount val="1"/>
                <c:pt idx="0">
                  <c:v>MITTESEKKUVAD, mln Nm3</c:v>
                </c:pt>
              </c:strCache>
            </c:strRef>
          </c:tx>
          <c:marker>
            <c:symbol val="none"/>
          </c:marker>
          <c:cat>
            <c:numRef>
              <c:f>Sheet2!$D$1:$K$1</c:f>
              <c:numCache>
                <c:formatCode>General</c:formatCode>
                <c:ptCount val="8"/>
                <c:pt idx="0">
                  <c:v>2010</c:v>
                </c:pt>
                <c:pt idx="1">
                  <c:v>2015</c:v>
                </c:pt>
                <c:pt idx="2">
                  <c:v>2020</c:v>
                </c:pt>
                <c:pt idx="3">
                  <c:v>2025</c:v>
                </c:pt>
                <c:pt idx="4">
                  <c:v>2030</c:v>
                </c:pt>
                <c:pt idx="5">
                  <c:v>2035</c:v>
                </c:pt>
                <c:pt idx="6">
                  <c:v>2040</c:v>
                </c:pt>
                <c:pt idx="7">
                  <c:v>2045</c:v>
                </c:pt>
              </c:numCache>
            </c:numRef>
          </c:cat>
          <c:val>
            <c:numRef>
              <c:f>Sheet2!$D$5:$K$5</c:f>
              <c:numCache>
                <c:formatCode>General</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225943488"/>
        <c:axId val="225943880"/>
      </c:lineChart>
      <c:catAx>
        <c:axId val="225943488"/>
        <c:scaling>
          <c:orientation val="minMax"/>
        </c:scaling>
        <c:delete val="0"/>
        <c:axPos val="b"/>
        <c:numFmt formatCode="General" sourceLinked="1"/>
        <c:majorTickMark val="out"/>
        <c:minorTickMark val="none"/>
        <c:tickLblPos val="nextTo"/>
        <c:crossAx val="225943880"/>
        <c:crosses val="autoZero"/>
        <c:auto val="1"/>
        <c:lblAlgn val="ctr"/>
        <c:lblOffset val="100"/>
        <c:noMultiLvlLbl val="0"/>
      </c:catAx>
      <c:valAx>
        <c:axId val="225943880"/>
        <c:scaling>
          <c:orientation val="minMax"/>
        </c:scaling>
        <c:delete val="0"/>
        <c:axPos val="l"/>
        <c:majorGridlines/>
        <c:numFmt formatCode="General" sourceLinked="1"/>
        <c:majorTickMark val="out"/>
        <c:minorTickMark val="none"/>
        <c:tickLblPos val="nextTo"/>
        <c:crossAx val="22594348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Sheet2!$Y$4</c:f>
              <c:strCache>
                <c:ptCount val="1"/>
                <c:pt idx="0">
                  <c:v>MAXI_Bioetanooli osakaal </c:v>
                </c:pt>
              </c:strCache>
            </c:strRef>
          </c:tx>
          <c:invertIfNegative val="0"/>
          <c:cat>
            <c:numRef>
              <c:f>Sheet2!$Z$3:$AD$3</c:f>
              <c:numCache>
                <c:formatCode>General</c:formatCode>
                <c:ptCount val="5"/>
                <c:pt idx="0">
                  <c:v>2010</c:v>
                </c:pt>
                <c:pt idx="1">
                  <c:v>2015</c:v>
                </c:pt>
                <c:pt idx="2">
                  <c:v>2020</c:v>
                </c:pt>
                <c:pt idx="3">
                  <c:v>2025</c:v>
                </c:pt>
                <c:pt idx="4">
                  <c:v>2030</c:v>
                </c:pt>
              </c:numCache>
            </c:numRef>
          </c:cat>
          <c:val>
            <c:numRef>
              <c:f>Sheet2!$Z$4:$AD$4</c:f>
              <c:numCache>
                <c:formatCode>0.00%</c:formatCode>
                <c:ptCount val="5"/>
                <c:pt idx="0">
                  <c:v>0</c:v>
                </c:pt>
                <c:pt idx="1">
                  <c:v>1.7899999999999999E-2</c:v>
                </c:pt>
                <c:pt idx="2">
                  <c:v>3.5099999999999999E-2</c:v>
                </c:pt>
                <c:pt idx="3">
                  <c:v>4.4499999999999998E-2</c:v>
                </c:pt>
                <c:pt idx="4">
                  <c:v>5.4800000000000001E-2</c:v>
                </c:pt>
              </c:numCache>
            </c:numRef>
          </c:val>
        </c:ser>
        <c:ser>
          <c:idx val="1"/>
          <c:order val="1"/>
          <c:tx>
            <c:strRef>
              <c:f>Sheet2!$Y$5</c:f>
              <c:strCache>
                <c:ptCount val="1"/>
                <c:pt idx="0">
                  <c:v>MAXI-Biometaani osakaal </c:v>
                </c:pt>
              </c:strCache>
            </c:strRef>
          </c:tx>
          <c:invertIfNegative val="0"/>
          <c:cat>
            <c:numRef>
              <c:f>Sheet2!$Z$3:$AD$3</c:f>
              <c:numCache>
                <c:formatCode>General</c:formatCode>
                <c:ptCount val="5"/>
                <c:pt idx="0">
                  <c:v>2010</c:v>
                </c:pt>
                <c:pt idx="1">
                  <c:v>2015</c:v>
                </c:pt>
                <c:pt idx="2">
                  <c:v>2020</c:v>
                </c:pt>
                <c:pt idx="3">
                  <c:v>2025</c:v>
                </c:pt>
                <c:pt idx="4">
                  <c:v>2030</c:v>
                </c:pt>
              </c:numCache>
            </c:numRef>
          </c:cat>
          <c:val>
            <c:numRef>
              <c:f>Sheet2!$Z$5:$AD$5</c:f>
              <c:numCache>
                <c:formatCode>0.00%</c:formatCode>
                <c:ptCount val="5"/>
                <c:pt idx="0">
                  <c:v>0</c:v>
                </c:pt>
                <c:pt idx="1">
                  <c:v>3.1699999999999999E-2</c:v>
                </c:pt>
                <c:pt idx="2">
                  <c:v>6.2E-2</c:v>
                </c:pt>
                <c:pt idx="3">
                  <c:v>0.13020000000000001</c:v>
                </c:pt>
                <c:pt idx="4">
                  <c:v>0.20499999999999999</c:v>
                </c:pt>
              </c:numCache>
            </c:numRef>
          </c:val>
        </c:ser>
        <c:dLbls>
          <c:showLegendKey val="0"/>
          <c:showVal val="0"/>
          <c:showCatName val="0"/>
          <c:showSerName val="0"/>
          <c:showPercent val="0"/>
          <c:showBubbleSize val="0"/>
        </c:dLbls>
        <c:gapWidth val="150"/>
        <c:overlap val="100"/>
        <c:axId val="225944664"/>
        <c:axId val="225945056"/>
      </c:barChart>
      <c:catAx>
        <c:axId val="225944664"/>
        <c:scaling>
          <c:orientation val="minMax"/>
        </c:scaling>
        <c:delete val="0"/>
        <c:axPos val="b"/>
        <c:numFmt formatCode="General" sourceLinked="1"/>
        <c:majorTickMark val="out"/>
        <c:minorTickMark val="none"/>
        <c:tickLblPos val="nextTo"/>
        <c:crossAx val="225945056"/>
        <c:crosses val="autoZero"/>
        <c:auto val="1"/>
        <c:lblAlgn val="ctr"/>
        <c:lblOffset val="100"/>
        <c:noMultiLvlLbl val="0"/>
      </c:catAx>
      <c:valAx>
        <c:axId val="225945056"/>
        <c:scaling>
          <c:orientation val="minMax"/>
        </c:scaling>
        <c:delete val="0"/>
        <c:axPos val="l"/>
        <c:majorGridlines/>
        <c:numFmt formatCode="0.00%" sourceLinked="1"/>
        <c:majorTickMark val="out"/>
        <c:minorTickMark val="none"/>
        <c:tickLblPos val="nextTo"/>
        <c:crossAx val="22594466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06128404328078"/>
          <c:y val="6.0185185185185203E-2"/>
          <c:w val="0.71196604878733105"/>
          <c:h val="0.78364209682123098"/>
        </c:manualLayout>
      </c:layout>
      <c:barChart>
        <c:barDir val="col"/>
        <c:grouping val="stacked"/>
        <c:varyColors val="0"/>
        <c:ser>
          <c:idx val="0"/>
          <c:order val="0"/>
          <c:tx>
            <c:strRef>
              <c:f>Sheet2!$A$103</c:f>
              <c:strCache>
                <c:ptCount val="1"/>
                <c:pt idx="0">
                  <c:v>MAXI_Bioetanooli osakaal </c:v>
                </c:pt>
              </c:strCache>
            </c:strRef>
          </c:tx>
          <c:invertIfNegative val="0"/>
          <c:cat>
            <c:numRef>
              <c:f>Sheet2!$B$102:$F$102</c:f>
              <c:numCache>
                <c:formatCode>General</c:formatCode>
                <c:ptCount val="5"/>
                <c:pt idx="0">
                  <c:v>2010</c:v>
                </c:pt>
                <c:pt idx="1">
                  <c:v>2015</c:v>
                </c:pt>
                <c:pt idx="2">
                  <c:v>2020</c:v>
                </c:pt>
                <c:pt idx="3">
                  <c:v>2025</c:v>
                </c:pt>
                <c:pt idx="4">
                  <c:v>2030</c:v>
                </c:pt>
              </c:numCache>
            </c:numRef>
          </c:cat>
          <c:val>
            <c:numRef>
              <c:f>Sheet2!$B$103:$F$103</c:f>
              <c:numCache>
                <c:formatCode>0.00%</c:formatCode>
                <c:ptCount val="5"/>
                <c:pt idx="0">
                  <c:v>0</c:v>
                </c:pt>
                <c:pt idx="1">
                  <c:v>1.7899999999999999E-2</c:v>
                </c:pt>
                <c:pt idx="2">
                  <c:v>3.5099999999999999E-2</c:v>
                </c:pt>
                <c:pt idx="3">
                  <c:v>4.4499999999999998E-2</c:v>
                </c:pt>
                <c:pt idx="4">
                  <c:v>5.4800000000000001E-2</c:v>
                </c:pt>
              </c:numCache>
            </c:numRef>
          </c:val>
        </c:ser>
        <c:ser>
          <c:idx val="1"/>
          <c:order val="1"/>
          <c:tx>
            <c:strRef>
              <c:f>Sheet2!$A$104</c:f>
              <c:strCache>
                <c:ptCount val="1"/>
                <c:pt idx="0">
                  <c:v>MAXI-Biometaani osakaal </c:v>
                </c:pt>
              </c:strCache>
            </c:strRef>
          </c:tx>
          <c:invertIfNegative val="0"/>
          <c:cat>
            <c:numRef>
              <c:f>Sheet2!$B$102:$F$102</c:f>
              <c:numCache>
                <c:formatCode>General</c:formatCode>
                <c:ptCount val="5"/>
                <c:pt idx="0">
                  <c:v>2010</c:v>
                </c:pt>
                <c:pt idx="1">
                  <c:v>2015</c:v>
                </c:pt>
                <c:pt idx="2">
                  <c:v>2020</c:v>
                </c:pt>
                <c:pt idx="3">
                  <c:v>2025</c:v>
                </c:pt>
                <c:pt idx="4">
                  <c:v>2030</c:v>
                </c:pt>
              </c:numCache>
            </c:numRef>
          </c:cat>
          <c:val>
            <c:numRef>
              <c:f>Sheet2!$B$104:$F$104</c:f>
              <c:numCache>
                <c:formatCode>0.00%</c:formatCode>
                <c:ptCount val="5"/>
                <c:pt idx="0">
                  <c:v>0</c:v>
                </c:pt>
                <c:pt idx="1">
                  <c:v>3.1699999999999999E-2</c:v>
                </c:pt>
                <c:pt idx="2">
                  <c:v>6.2E-2</c:v>
                </c:pt>
                <c:pt idx="3">
                  <c:v>0.13020000000000001</c:v>
                </c:pt>
                <c:pt idx="4">
                  <c:v>0.20499999999999999</c:v>
                </c:pt>
              </c:numCache>
            </c:numRef>
          </c:val>
        </c:ser>
        <c:dLbls>
          <c:showLegendKey val="0"/>
          <c:showVal val="0"/>
          <c:showCatName val="0"/>
          <c:showSerName val="0"/>
          <c:showPercent val="0"/>
          <c:showBubbleSize val="0"/>
        </c:dLbls>
        <c:gapWidth val="150"/>
        <c:overlap val="100"/>
        <c:axId val="225945840"/>
        <c:axId val="225946232"/>
      </c:barChart>
      <c:catAx>
        <c:axId val="225945840"/>
        <c:scaling>
          <c:orientation val="minMax"/>
        </c:scaling>
        <c:delete val="0"/>
        <c:axPos val="b"/>
        <c:numFmt formatCode="General" sourceLinked="1"/>
        <c:majorTickMark val="out"/>
        <c:minorTickMark val="none"/>
        <c:tickLblPos val="nextTo"/>
        <c:crossAx val="225946232"/>
        <c:crosses val="autoZero"/>
        <c:auto val="1"/>
        <c:lblAlgn val="ctr"/>
        <c:lblOffset val="100"/>
        <c:noMultiLvlLbl val="0"/>
      </c:catAx>
      <c:valAx>
        <c:axId val="225946232"/>
        <c:scaling>
          <c:orientation val="minMax"/>
        </c:scaling>
        <c:delete val="0"/>
        <c:axPos val="l"/>
        <c:majorGridlines/>
        <c:numFmt formatCode="0.00%" sourceLinked="1"/>
        <c:majorTickMark val="out"/>
        <c:minorTickMark val="none"/>
        <c:tickLblPos val="nextTo"/>
        <c:crossAx val="225945840"/>
        <c:crosses val="autoZero"/>
        <c:crossBetween val="between"/>
      </c:valAx>
    </c:plotArea>
    <c:legend>
      <c:legendPos val="r"/>
      <c:layout>
        <c:manualLayout>
          <c:xMode val="edge"/>
          <c:yMode val="edge"/>
          <c:x val="0.14444444444444399"/>
          <c:y val="8.7579104695246393E-2"/>
          <c:w val="0.44716167160619402"/>
          <c:h val="0.40971055701370701"/>
        </c:manualLayout>
      </c:layout>
      <c:overlay val="0"/>
    </c:legend>
    <c:plotVisOnly val="1"/>
    <c:dispBlanksAs val="gap"/>
    <c:showDLblsOverMax val="0"/>
  </c:chart>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Sheet2!$A$112</c:f>
              <c:strCache>
                <c:ptCount val="1"/>
                <c:pt idx="0">
                  <c:v>VÄHESEKKUV - Etanooli osakaal</c:v>
                </c:pt>
              </c:strCache>
            </c:strRef>
          </c:tx>
          <c:invertIfNegative val="0"/>
          <c:cat>
            <c:numRef>
              <c:f>Sheet2!$B$111:$F$111</c:f>
              <c:numCache>
                <c:formatCode>General</c:formatCode>
                <c:ptCount val="5"/>
                <c:pt idx="0">
                  <c:v>2010</c:v>
                </c:pt>
                <c:pt idx="1">
                  <c:v>2015</c:v>
                </c:pt>
                <c:pt idx="2">
                  <c:v>2020</c:v>
                </c:pt>
                <c:pt idx="3">
                  <c:v>2025</c:v>
                </c:pt>
                <c:pt idx="4">
                  <c:v>2030</c:v>
                </c:pt>
              </c:numCache>
            </c:numRef>
          </c:cat>
          <c:val>
            <c:numRef>
              <c:f>Sheet2!$B$112:$F$112</c:f>
              <c:numCache>
                <c:formatCode>0.00%</c:formatCode>
                <c:ptCount val="5"/>
                <c:pt idx="0">
                  <c:v>0</c:v>
                </c:pt>
                <c:pt idx="1">
                  <c:v>1.7999999999999999E-2</c:v>
                </c:pt>
                <c:pt idx="2">
                  <c:v>3.32E-2</c:v>
                </c:pt>
                <c:pt idx="3">
                  <c:v>2.9600000000000001E-2</c:v>
                </c:pt>
                <c:pt idx="4">
                  <c:v>2.64E-2</c:v>
                </c:pt>
              </c:numCache>
            </c:numRef>
          </c:val>
        </c:ser>
        <c:ser>
          <c:idx val="1"/>
          <c:order val="1"/>
          <c:tx>
            <c:strRef>
              <c:f>Sheet2!$A$113</c:f>
              <c:strCache>
                <c:ptCount val="1"/>
                <c:pt idx="0">
                  <c:v>VÄHESEKKUV - Biometaani osakaal</c:v>
                </c:pt>
              </c:strCache>
            </c:strRef>
          </c:tx>
          <c:invertIfNegative val="0"/>
          <c:cat>
            <c:numRef>
              <c:f>Sheet2!$B$111:$F$111</c:f>
              <c:numCache>
                <c:formatCode>General</c:formatCode>
                <c:ptCount val="5"/>
                <c:pt idx="0">
                  <c:v>2010</c:v>
                </c:pt>
                <c:pt idx="1">
                  <c:v>2015</c:v>
                </c:pt>
                <c:pt idx="2">
                  <c:v>2020</c:v>
                </c:pt>
                <c:pt idx="3">
                  <c:v>2025</c:v>
                </c:pt>
                <c:pt idx="4">
                  <c:v>2030</c:v>
                </c:pt>
              </c:numCache>
            </c:numRef>
          </c:cat>
          <c:val>
            <c:numRef>
              <c:f>Sheet2!$B$113:$F$113</c:f>
              <c:numCache>
                <c:formatCode>0.00%</c:formatCode>
                <c:ptCount val="5"/>
                <c:pt idx="0">
                  <c:v>0</c:v>
                </c:pt>
                <c:pt idx="1">
                  <c:v>1.9400000000000001E-2</c:v>
                </c:pt>
                <c:pt idx="2">
                  <c:v>3.5700000000000003E-2</c:v>
                </c:pt>
                <c:pt idx="3">
                  <c:v>8.2900000000000001E-2</c:v>
                </c:pt>
                <c:pt idx="4">
                  <c:v>0.12559999999999999</c:v>
                </c:pt>
              </c:numCache>
            </c:numRef>
          </c:val>
        </c:ser>
        <c:dLbls>
          <c:showLegendKey val="0"/>
          <c:showVal val="0"/>
          <c:showCatName val="0"/>
          <c:showSerName val="0"/>
          <c:showPercent val="0"/>
          <c:showBubbleSize val="0"/>
        </c:dLbls>
        <c:gapWidth val="150"/>
        <c:overlap val="100"/>
        <c:axId val="225639784"/>
        <c:axId val="225640176"/>
      </c:barChart>
      <c:catAx>
        <c:axId val="225639784"/>
        <c:scaling>
          <c:orientation val="minMax"/>
        </c:scaling>
        <c:delete val="0"/>
        <c:axPos val="b"/>
        <c:numFmt formatCode="General" sourceLinked="1"/>
        <c:majorTickMark val="out"/>
        <c:minorTickMark val="none"/>
        <c:tickLblPos val="nextTo"/>
        <c:crossAx val="225640176"/>
        <c:crosses val="autoZero"/>
        <c:auto val="1"/>
        <c:lblAlgn val="ctr"/>
        <c:lblOffset val="100"/>
        <c:noMultiLvlLbl val="0"/>
      </c:catAx>
      <c:valAx>
        <c:axId val="225640176"/>
        <c:scaling>
          <c:orientation val="minMax"/>
        </c:scaling>
        <c:delete val="0"/>
        <c:axPos val="l"/>
        <c:majorGridlines/>
        <c:numFmt formatCode="0.00%" sourceLinked="1"/>
        <c:majorTickMark val="out"/>
        <c:minorTickMark val="none"/>
        <c:tickLblPos val="nextTo"/>
        <c:crossAx val="225639784"/>
        <c:crosses val="autoZero"/>
        <c:crossBetween val="between"/>
      </c:valAx>
    </c:plotArea>
    <c:legend>
      <c:legendPos val="t"/>
      <c:overlay val="0"/>
    </c:legend>
    <c:plotVisOnly val="1"/>
    <c:dispBlanksAs val="gap"/>
    <c:showDLblsOverMax val="0"/>
  </c:chart>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Sheet2!$A$115</c:f>
              <c:strCache>
                <c:ptCount val="1"/>
                <c:pt idx="0">
                  <c:v>MITTESEKKUV-Bioetanooli osakaal</c:v>
                </c:pt>
              </c:strCache>
            </c:strRef>
          </c:tx>
          <c:invertIfNegative val="0"/>
          <c:cat>
            <c:numRef>
              <c:f>Sheet2!$B$114:$F$114</c:f>
              <c:numCache>
                <c:formatCode>General</c:formatCode>
                <c:ptCount val="5"/>
                <c:pt idx="0">
                  <c:v>2010</c:v>
                </c:pt>
                <c:pt idx="1">
                  <c:v>2015</c:v>
                </c:pt>
                <c:pt idx="2">
                  <c:v>2020</c:v>
                </c:pt>
                <c:pt idx="3">
                  <c:v>2025</c:v>
                </c:pt>
                <c:pt idx="4">
                  <c:v>2030</c:v>
                </c:pt>
              </c:numCache>
            </c:numRef>
          </c:cat>
          <c:val>
            <c:numRef>
              <c:f>Sheet2!$B$115:$F$115</c:f>
              <c:numCache>
                <c:formatCode>0.00%</c:formatCode>
                <c:ptCount val="5"/>
                <c:pt idx="0">
                  <c:v>0</c:v>
                </c:pt>
                <c:pt idx="1">
                  <c:v>-1.6400000000000001E-2</c:v>
                </c:pt>
                <c:pt idx="2">
                  <c:v>-2.8400000000000002E-2</c:v>
                </c:pt>
                <c:pt idx="3">
                  <c:v>-2.6499999999999999E-2</c:v>
                </c:pt>
                <c:pt idx="4">
                  <c:v>-2.4799999999999999E-2</c:v>
                </c:pt>
              </c:numCache>
            </c:numRef>
          </c:val>
        </c:ser>
        <c:ser>
          <c:idx val="1"/>
          <c:order val="1"/>
          <c:tx>
            <c:strRef>
              <c:f>Sheet2!$A$116</c:f>
              <c:strCache>
                <c:ptCount val="1"/>
                <c:pt idx="0">
                  <c:v>MITTESEKKUV-Biometaani osakaal</c:v>
                </c:pt>
              </c:strCache>
            </c:strRef>
          </c:tx>
          <c:invertIfNegative val="0"/>
          <c:cat>
            <c:numRef>
              <c:f>Sheet2!$B$114:$F$114</c:f>
              <c:numCache>
                <c:formatCode>General</c:formatCode>
                <c:ptCount val="5"/>
                <c:pt idx="0">
                  <c:v>2010</c:v>
                </c:pt>
                <c:pt idx="1">
                  <c:v>2015</c:v>
                </c:pt>
                <c:pt idx="2">
                  <c:v>2020</c:v>
                </c:pt>
                <c:pt idx="3">
                  <c:v>2025</c:v>
                </c:pt>
                <c:pt idx="4">
                  <c:v>2030</c:v>
                </c:pt>
              </c:numCache>
            </c:numRef>
          </c:cat>
          <c:val>
            <c:numRef>
              <c:f>Sheet2!$B$116:$F$116</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225640960"/>
        <c:axId val="225641352"/>
      </c:barChart>
      <c:catAx>
        <c:axId val="225640960"/>
        <c:scaling>
          <c:orientation val="minMax"/>
        </c:scaling>
        <c:delete val="0"/>
        <c:axPos val="b"/>
        <c:numFmt formatCode="General" sourceLinked="1"/>
        <c:majorTickMark val="out"/>
        <c:minorTickMark val="none"/>
        <c:tickLblPos val="nextTo"/>
        <c:crossAx val="225641352"/>
        <c:crosses val="autoZero"/>
        <c:auto val="1"/>
        <c:lblAlgn val="ctr"/>
        <c:lblOffset val="100"/>
        <c:noMultiLvlLbl val="0"/>
      </c:catAx>
      <c:valAx>
        <c:axId val="225641352"/>
        <c:scaling>
          <c:orientation val="minMax"/>
        </c:scaling>
        <c:delete val="0"/>
        <c:axPos val="l"/>
        <c:majorGridlines/>
        <c:numFmt formatCode="0.00%" sourceLinked="1"/>
        <c:majorTickMark val="out"/>
        <c:minorTickMark val="none"/>
        <c:tickLblPos val="nextTo"/>
        <c:crossAx val="225640960"/>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Sheet2!$N$102</c:f>
              <c:strCache>
                <c:ptCount val="1"/>
                <c:pt idx="0">
                  <c:v>Biometaani Kodumaine tarbimine transpordis mln Nm3</c:v>
                </c:pt>
              </c:strCache>
            </c:strRef>
          </c:tx>
          <c:invertIfNegative val="0"/>
          <c:cat>
            <c:numRef>
              <c:f>Sheet2!$O$101:$W$101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Sheet2!$O$102:$W$102</c:f>
              <c:numCache>
                <c:formatCode>#,##0</c:formatCode>
                <c:ptCount val="9"/>
                <c:pt idx="0">
                  <c:v>1</c:v>
                </c:pt>
                <c:pt idx="1">
                  <c:v>26.944444444444443</c:v>
                </c:pt>
                <c:pt idx="2">
                  <c:v>53.888888888888886</c:v>
                </c:pt>
                <c:pt idx="3">
                  <c:v>108.16666666666666</c:v>
                </c:pt>
                <c:pt idx="4">
                  <c:v>162.44444444444443</c:v>
                </c:pt>
                <c:pt idx="5">
                  <c:v>156.94444444444443</c:v>
                </c:pt>
                <c:pt idx="6">
                  <c:v>151.41666666666666</c:v>
                </c:pt>
                <c:pt idx="7">
                  <c:v>148.66666666666669</c:v>
                </c:pt>
                <c:pt idx="8">
                  <c:v>140.41666666666666</c:v>
                </c:pt>
              </c:numCache>
            </c:numRef>
          </c:val>
        </c:ser>
        <c:ser>
          <c:idx val="1"/>
          <c:order val="1"/>
          <c:tx>
            <c:strRef>
              <c:f>Sheet2!$N$103</c:f>
              <c:strCache>
                <c:ptCount val="1"/>
                <c:pt idx="0">
                  <c:v>Biometaani Eksport mln Nm3</c:v>
                </c:pt>
              </c:strCache>
            </c:strRef>
          </c:tx>
          <c:invertIfNegative val="0"/>
          <c:cat>
            <c:numRef>
              <c:f>Sheet2!$O$101:$W$101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Sheet2!$O$103:$W$103</c:f>
              <c:numCache>
                <c:formatCode>#,##0</c:formatCode>
                <c:ptCount val="9"/>
                <c:pt idx="0">
                  <c:v>0</c:v>
                </c:pt>
                <c:pt idx="1">
                  <c:v>3.0555555555555571</c:v>
                </c:pt>
                <c:pt idx="2">
                  <c:v>101.11111111111111</c:v>
                </c:pt>
                <c:pt idx="3">
                  <c:v>91.833333333333343</c:v>
                </c:pt>
                <c:pt idx="4">
                  <c:v>100.55555555555557</c:v>
                </c:pt>
                <c:pt idx="5">
                  <c:v>143.05555555555557</c:v>
                </c:pt>
                <c:pt idx="6">
                  <c:v>172.58333333333334</c:v>
                </c:pt>
                <c:pt idx="7">
                  <c:v>201.33333333333331</c:v>
                </c:pt>
                <c:pt idx="8">
                  <c:v>230.38333333333335</c:v>
                </c:pt>
              </c:numCache>
            </c:numRef>
          </c:val>
        </c:ser>
        <c:ser>
          <c:idx val="2"/>
          <c:order val="2"/>
          <c:tx>
            <c:strRef>
              <c:f>Sheet2!$N$104</c:f>
              <c:strCache>
                <c:ptCount val="1"/>
                <c:pt idx="0">
                  <c:v>Bioetanooli kodumaine </c:v>
                </c:pt>
              </c:strCache>
            </c:strRef>
          </c:tx>
          <c:invertIfNegative val="0"/>
          <c:cat>
            <c:numRef>
              <c:f>Sheet2!$O$101:$W$101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Sheet2!$O$104:$W$104</c:f>
              <c:numCache>
                <c:formatCode>General</c:formatCode>
                <c:ptCount val="9"/>
                <c:pt idx="0">
                  <c:v>0</c:v>
                </c:pt>
                <c:pt idx="1">
                  <c:v>0</c:v>
                </c:pt>
                <c:pt idx="2" formatCode="0">
                  <c:v>50.107062321502063</c:v>
                </c:pt>
                <c:pt idx="3" formatCode="0">
                  <c:v>60.777346596939566</c:v>
                </c:pt>
                <c:pt idx="4" formatCode="0">
                  <c:v>71.447630872377033</c:v>
                </c:pt>
                <c:pt idx="5" formatCode="0">
                  <c:v>58.643052475482797</c:v>
                </c:pt>
                <c:pt idx="6" formatCode="0">
                  <c:v>45.838474078588533</c:v>
                </c:pt>
                <c:pt idx="7" formatCode="0">
                  <c:v>39.436184880141404</c:v>
                </c:pt>
                <c:pt idx="8" formatCode="0">
                  <c:v>20.229317284800015</c:v>
                </c:pt>
              </c:numCache>
            </c:numRef>
          </c:val>
        </c:ser>
        <c:ser>
          <c:idx val="3"/>
          <c:order val="3"/>
          <c:tx>
            <c:strRef>
              <c:f>Sheet2!$N$105</c:f>
              <c:strCache>
                <c:ptCount val="1"/>
                <c:pt idx="0">
                  <c:v>Bioetanooli eksport</c:v>
                </c:pt>
              </c:strCache>
            </c:strRef>
          </c:tx>
          <c:invertIfNegative val="0"/>
          <c:cat>
            <c:numRef>
              <c:f>Sheet2!$O$101:$W$101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Sheet2!$O$105:$W$105</c:f>
              <c:numCache>
                <c:formatCode>General</c:formatCode>
                <c:ptCount val="9"/>
                <c:pt idx="0">
                  <c:v>0</c:v>
                </c:pt>
                <c:pt idx="1">
                  <c:v>0</c:v>
                </c:pt>
                <c:pt idx="2" formatCode="0">
                  <c:v>73.352937678497923</c:v>
                </c:pt>
                <c:pt idx="3" formatCode="0">
                  <c:v>62.682653403060428</c:v>
                </c:pt>
                <c:pt idx="4" formatCode="0">
                  <c:v>200.1643691276229</c:v>
                </c:pt>
                <c:pt idx="5" formatCode="0">
                  <c:v>212.9689475245172</c:v>
                </c:pt>
                <c:pt idx="6" formatCode="0">
                  <c:v>225.77352592141145</c:v>
                </c:pt>
                <c:pt idx="7" formatCode="0">
                  <c:v>232.17581511985856</c:v>
                </c:pt>
                <c:pt idx="8" formatCode="0">
                  <c:v>251.38268271519999</c:v>
                </c:pt>
              </c:numCache>
            </c:numRef>
          </c:val>
        </c:ser>
        <c:dLbls>
          <c:showLegendKey val="0"/>
          <c:showVal val="0"/>
          <c:showCatName val="0"/>
          <c:showSerName val="0"/>
          <c:showPercent val="0"/>
          <c:showBubbleSize val="0"/>
        </c:dLbls>
        <c:gapWidth val="150"/>
        <c:overlap val="100"/>
        <c:axId val="225642136"/>
        <c:axId val="225642528"/>
      </c:barChart>
      <c:catAx>
        <c:axId val="225642136"/>
        <c:scaling>
          <c:orientation val="minMax"/>
        </c:scaling>
        <c:delete val="0"/>
        <c:axPos val="b"/>
        <c:numFmt formatCode="General" sourceLinked="1"/>
        <c:majorTickMark val="out"/>
        <c:minorTickMark val="none"/>
        <c:tickLblPos val="nextTo"/>
        <c:crossAx val="225642528"/>
        <c:crosses val="autoZero"/>
        <c:auto val="1"/>
        <c:lblAlgn val="ctr"/>
        <c:lblOffset val="100"/>
        <c:noMultiLvlLbl val="0"/>
      </c:catAx>
      <c:valAx>
        <c:axId val="225642528"/>
        <c:scaling>
          <c:orientation val="minMax"/>
        </c:scaling>
        <c:delete val="0"/>
        <c:axPos val="l"/>
        <c:majorGridlines/>
        <c:numFmt formatCode="#,##0" sourceLinked="1"/>
        <c:majorTickMark val="out"/>
        <c:minorTickMark val="none"/>
        <c:tickLblPos val="nextTo"/>
        <c:crossAx val="22564213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tx>
            <c:strRef>
              <c:f>Sheet2!$N$109</c:f>
              <c:strCache>
                <c:ptCount val="1"/>
                <c:pt idx="0">
                  <c:v>Biometaani Kodumaine tarbimine transpordis mln Nm3</c:v>
                </c:pt>
              </c:strCache>
            </c:strRef>
          </c:tx>
          <c:invertIfNegative val="0"/>
          <c:cat>
            <c:numRef>
              <c:f>Sheet2!$O$108:$W$108</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Sheet2!$O$109:$W$109</c:f>
              <c:numCache>
                <c:formatCode>#,##0</c:formatCode>
                <c:ptCount val="9"/>
                <c:pt idx="0">
                  <c:v>1</c:v>
                </c:pt>
                <c:pt idx="1">
                  <c:v>26.944444444444443</c:v>
                </c:pt>
                <c:pt idx="2">
                  <c:v>53.888888888888886</c:v>
                </c:pt>
                <c:pt idx="3">
                  <c:v>108.16666666666666</c:v>
                </c:pt>
                <c:pt idx="4">
                  <c:v>162.44444444444443</c:v>
                </c:pt>
                <c:pt idx="5">
                  <c:v>156.94444444444443</c:v>
                </c:pt>
                <c:pt idx="6">
                  <c:v>151.41666666666666</c:v>
                </c:pt>
                <c:pt idx="7">
                  <c:v>148.66666666666669</c:v>
                </c:pt>
                <c:pt idx="8">
                  <c:v>140.41666666666666</c:v>
                </c:pt>
              </c:numCache>
            </c:numRef>
          </c:val>
        </c:ser>
        <c:ser>
          <c:idx val="1"/>
          <c:order val="1"/>
          <c:tx>
            <c:strRef>
              <c:f>Sheet2!$N$110</c:f>
              <c:strCache>
                <c:ptCount val="1"/>
                <c:pt idx="0">
                  <c:v>Bioetanooli kodumaine tarbimine mln l/a</c:v>
                </c:pt>
              </c:strCache>
            </c:strRef>
          </c:tx>
          <c:invertIfNegative val="0"/>
          <c:cat>
            <c:numRef>
              <c:f>Sheet2!$O$108:$W$108</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Sheet2!$O$110:$W$110</c:f>
              <c:numCache>
                <c:formatCode>General</c:formatCode>
                <c:ptCount val="9"/>
                <c:pt idx="0">
                  <c:v>0</c:v>
                </c:pt>
                <c:pt idx="1">
                  <c:v>0</c:v>
                </c:pt>
                <c:pt idx="2" formatCode="0">
                  <c:v>50.107062321502063</c:v>
                </c:pt>
                <c:pt idx="3" formatCode="0">
                  <c:v>60.777346596939566</c:v>
                </c:pt>
                <c:pt idx="4" formatCode="0">
                  <c:v>71.447630872377033</c:v>
                </c:pt>
                <c:pt idx="5" formatCode="0">
                  <c:v>58.643052475482797</c:v>
                </c:pt>
                <c:pt idx="6" formatCode="0">
                  <c:v>45.838474078588533</c:v>
                </c:pt>
                <c:pt idx="7" formatCode="0">
                  <c:v>39.436184880141404</c:v>
                </c:pt>
                <c:pt idx="8" formatCode="0">
                  <c:v>20.229317284800015</c:v>
                </c:pt>
              </c:numCache>
            </c:numRef>
          </c:val>
        </c:ser>
        <c:ser>
          <c:idx val="2"/>
          <c:order val="2"/>
          <c:tx>
            <c:strRef>
              <c:f>Sheet2!$N$111</c:f>
              <c:strCache>
                <c:ptCount val="1"/>
                <c:pt idx="0">
                  <c:v>Bioetanooli eksport mln l/a</c:v>
                </c:pt>
              </c:strCache>
            </c:strRef>
          </c:tx>
          <c:invertIfNegative val="0"/>
          <c:cat>
            <c:numRef>
              <c:f>Sheet2!$O$108:$W$108</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Sheet2!$O$111:$W$111</c:f>
              <c:numCache>
                <c:formatCode>General</c:formatCode>
                <c:ptCount val="9"/>
                <c:pt idx="0">
                  <c:v>0</c:v>
                </c:pt>
                <c:pt idx="1">
                  <c:v>0</c:v>
                </c:pt>
                <c:pt idx="2" formatCode="0">
                  <c:v>73.352937678497923</c:v>
                </c:pt>
                <c:pt idx="3" formatCode="0">
                  <c:v>62.682653403060428</c:v>
                </c:pt>
                <c:pt idx="4" formatCode="0">
                  <c:v>200.1643691276229</c:v>
                </c:pt>
                <c:pt idx="5" formatCode="0">
                  <c:v>212.9689475245172</c:v>
                </c:pt>
                <c:pt idx="6" formatCode="0">
                  <c:v>225.77352592141145</c:v>
                </c:pt>
                <c:pt idx="7" formatCode="0">
                  <c:v>232.17581511985856</c:v>
                </c:pt>
                <c:pt idx="8" formatCode="0">
                  <c:v>251.38268271519999</c:v>
                </c:pt>
              </c:numCache>
            </c:numRef>
          </c:val>
        </c:ser>
        <c:ser>
          <c:idx val="3"/>
          <c:order val="3"/>
          <c:tx>
            <c:strRef>
              <c:f>Sheet2!$N$112</c:f>
              <c:strCache>
                <c:ptCount val="1"/>
                <c:pt idx="0">
                  <c:v>Biometaani Eksport mln Nm3</c:v>
                </c:pt>
              </c:strCache>
            </c:strRef>
          </c:tx>
          <c:invertIfNegative val="0"/>
          <c:cat>
            <c:numRef>
              <c:f>Sheet2!$O$108:$W$108</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Sheet2!$O$112:$W$112</c:f>
              <c:numCache>
                <c:formatCode>#,##0</c:formatCode>
                <c:ptCount val="9"/>
                <c:pt idx="0">
                  <c:v>0</c:v>
                </c:pt>
                <c:pt idx="1">
                  <c:v>3.0555555555555571</c:v>
                </c:pt>
                <c:pt idx="2">
                  <c:v>101.11111111111111</c:v>
                </c:pt>
                <c:pt idx="3">
                  <c:v>91.833333333333343</c:v>
                </c:pt>
                <c:pt idx="4">
                  <c:v>100.55555555555557</c:v>
                </c:pt>
                <c:pt idx="5">
                  <c:v>143.05555555555557</c:v>
                </c:pt>
                <c:pt idx="6">
                  <c:v>172.58333333333334</c:v>
                </c:pt>
                <c:pt idx="7">
                  <c:v>201.33333333333331</c:v>
                </c:pt>
                <c:pt idx="8">
                  <c:v>230.38333333333335</c:v>
                </c:pt>
              </c:numCache>
            </c:numRef>
          </c:val>
        </c:ser>
        <c:dLbls>
          <c:showLegendKey val="0"/>
          <c:showVal val="0"/>
          <c:showCatName val="0"/>
          <c:showSerName val="0"/>
          <c:showPercent val="0"/>
          <c:showBubbleSize val="0"/>
        </c:dLbls>
        <c:gapWidth val="150"/>
        <c:overlap val="100"/>
        <c:axId val="226328032"/>
        <c:axId val="226328424"/>
      </c:barChart>
      <c:catAx>
        <c:axId val="226328032"/>
        <c:scaling>
          <c:orientation val="minMax"/>
        </c:scaling>
        <c:delete val="0"/>
        <c:axPos val="b"/>
        <c:numFmt formatCode="General" sourceLinked="1"/>
        <c:majorTickMark val="out"/>
        <c:minorTickMark val="none"/>
        <c:tickLblPos val="nextTo"/>
        <c:crossAx val="226328424"/>
        <c:crosses val="autoZero"/>
        <c:auto val="1"/>
        <c:lblAlgn val="ctr"/>
        <c:lblOffset val="100"/>
        <c:noMultiLvlLbl val="0"/>
      </c:catAx>
      <c:valAx>
        <c:axId val="226328424"/>
        <c:scaling>
          <c:orientation val="minMax"/>
        </c:scaling>
        <c:delete val="0"/>
        <c:axPos val="l"/>
        <c:majorGridlines/>
        <c:numFmt formatCode="#,##0" sourceLinked="1"/>
        <c:majorTickMark val="out"/>
        <c:minorTickMark val="none"/>
        <c:tickLblPos val="nextTo"/>
        <c:crossAx val="226328032"/>
        <c:crosses val="autoZero"/>
        <c:crossBetween val="between"/>
      </c:valAx>
    </c:plotArea>
    <c:legend>
      <c:legendPos val="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Lähteeeldused!$A$38</c:f>
              <c:strCache>
                <c:ptCount val="1"/>
                <c:pt idx="0">
                  <c:v>Biometaani kodumaine tarbimine transpordis mln Nm3</c:v>
                </c:pt>
              </c:strCache>
            </c:strRef>
          </c:tx>
          <c:invertIfNegative val="0"/>
          <c:val>
            <c:numRef>
              <c:f>Lähteeeldused!$B$38:$J$38</c:f>
              <c:numCache>
                <c:formatCode>0</c:formatCode>
                <c:ptCount val="9"/>
                <c:pt idx="0" formatCode="General">
                  <c:v>1</c:v>
                </c:pt>
                <c:pt idx="1">
                  <c:v>26.944444444444443</c:v>
                </c:pt>
                <c:pt idx="2">
                  <c:v>53.888888888888886</c:v>
                </c:pt>
                <c:pt idx="3">
                  <c:v>108.16666666666666</c:v>
                </c:pt>
                <c:pt idx="4">
                  <c:v>162.44444444444443</c:v>
                </c:pt>
                <c:pt idx="5">
                  <c:v>156.94444444444443</c:v>
                </c:pt>
                <c:pt idx="6">
                  <c:v>151.41666666666666</c:v>
                </c:pt>
                <c:pt idx="7">
                  <c:v>148.66666666666669</c:v>
                </c:pt>
                <c:pt idx="8">
                  <c:v>140.41666666666666</c:v>
                </c:pt>
              </c:numCache>
            </c:numRef>
          </c:val>
        </c:ser>
        <c:ser>
          <c:idx val="1"/>
          <c:order val="1"/>
          <c:tx>
            <c:strRef>
              <c:f>Lähteeeldused!$A$37</c:f>
              <c:strCache>
                <c:ptCount val="1"/>
                <c:pt idx="0">
                  <c:v>Biometaani potentsiaal mln Nm3</c:v>
                </c:pt>
              </c:strCache>
            </c:strRef>
          </c:tx>
          <c:invertIfNegative val="0"/>
          <c:val>
            <c:numRef>
              <c:f>Lähteeeldused!$B$37:$J$37</c:f>
              <c:numCache>
                <c:formatCode>General</c:formatCode>
                <c:ptCount val="9"/>
                <c:pt idx="0">
                  <c:v>1</c:v>
                </c:pt>
                <c:pt idx="1">
                  <c:v>30</c:v>
                </c:pt>
                <c:pt idx="2">
                  <c:v>155</c:v>
                </c:pt>
                <c:pt idx="3">
                  <c:v>200</c:v>
                </c:pt>
                <c:pt idx="4">
                  <c:v>263</c:v>
                </c:pt>
                <c:pt idx="5">
                  <c:v>300</c:v>
                </c:pt>
                <c:pt idx="6">
                  <c:v>324</c:v>
                </c:pt>
                <c:pt idx="7">
                  <c:v>350</c:v>
                </c:pt>
                <c:pt idx="8">
                  <c:v>380</c:v>
                </c:pt>
              </c:numCache>
            </c:numRef>
          </c:val>
        </c:ser>
        <c:dLbls>
          <c:showLegendKey val="0"/>
          <c:showVal val="0"/>
          <c:showCatName val="0"/>
          <c:showSerName val="0"/>
          <c:showPercent val="0"/>
          <c:showBubbleSize val="0"/>
        </c:dLbls>
        <c:gapWidth val="150"/>
        <c:axId val="210607472"/>
        <c:axId val="210638576"/>
      </c:barChart>
      <c:dateAx>
        <c:axId val="210607472"/>
        <c:scaling>
          <c:orientation val="minMax"/>
        </c:scaling>
        <c:delete val="0"/>
        <c:axPos val="b"/>
        <c:majorTickMark val="out"/>
        <c:minorTickMark val="none"/>
        <c:tickLblPos val="nextTo"/>
        <c:crossAx val="210638576"/>
        <c:crosses val="autoZero"/>
        <c:auto val="0"/>
        <c:lblOffset val="100"/>
        <c:baseTimeUnit val="days"/>
      </c:dateAx>
      <c:valAx>
        <c:axId val="210638576"/>
        <c:scaling>
          <c:orientation val="minMax"/>
        </c:scaling>
        <c:delete val="0"/>
        <c:axPos val="l"/>
        <c:majorGridlines/>
        <c:numFmt formatCode="General" sourceLinked="1"/>
        <c:majorTickMark val="out"/>
        <c:minorTickMark val="none"/>
        <c:tickLblPos val="nextTo"/>
        <c:crossAx val="210607472"/>
        <c:crosses val="autoZero"/>
        <c:crossBetween val="between"/>
      </c:valAx>
    </c:plotArea>
    <c:legend>
      <c:legendPos val="r"/>
      <c:layout/>
      <c:overlay val="0"/>
    </c:legend>
    <c:plotVisOnly val="1"/>
    <c:dispBlanksAs val="gap"/>
    <c:showDLblsOverMax val="0"/>
  </c:chart>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'kütuste tarbimine EE (2)'!$N$5</c:f>
              <c:strCache>
                <c:ptCount val="1"/>
                <c:pt idx="0">
                  <c:v>Elekter</c:v>
                </c:pt>
              </c:strCache>
            </c:strRef>
          </c:tx>
          <c:invertIfNegative val="0"/>
          <c:val>
            <c:numRef>
              <c:f>'kütuste tarbimine EE (2)'!$O$5:$W$5</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ser>
          <c:idx val="1"/>
          <c:order val="1"/>
          <c:tx>
            <c:strRef>
              <c:f>'kütuste tarbimine EE (2)'!$N$6</c:f>
              <c:strCache>
                <c:ptCount val="1"/>
                <c:pt idx="0">
                  <c:v>Bensiin</c:v>
                </c:pt>
              </c:strCache>
            </c:strRef>
          </c:tx>
          <c:invertIfNegative val="0"/>
          <c:val>
            <c:numRef>
              <c:f>'kütuste tarbimine EE (2)'!$O$6:$W$6</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ser>
          <c:idx val="2"/>
          <c:order val="2"/>
          <c:tx>
            <c:strRef>
              <c:f>'kütuste tarbimine EE (2)'!$N$7</c:f>
              <c:strCache>
                <c:ptCount val="1"/>
                <c:pt idx="0">
                  <c:v>Diisel</c:v>
                </c:pt>
              </c:strCache>
            </c:strRef>
          </c:tx>
          <c:invertIfNegative val="0"/>
          <c:val>
            <c:numRef>
              <c:f>'kütuste tarbimine EE (2)'!$O$7:$W$7</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ser>
          <c:idx val="3"/>
          <c:order val="3"/>
          <c:tx>
            <c:strRef>
              <c:f>'kütuste tarbimine EE (2)'!$N$8</c:f>
              <c:strCache>
                <c:ptCount val="1"/>
                <c:pt idx="0">
                  <c:v>Maagaas</c:v>
                </c:pt>
              </c:strCache>
            </c:strRef>
          </c:tx>
          <c:invertIfNegative val="0"/>
          <c:val>
            <c:numRef>
              <c:f>'kütuste tarbimine EE (2)'!$O$8:$W$8</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ser>
          <c:idx val="4"/>
          <c:order val="4"/>
          <c:tx>
            <c:strRef>
              <c:f>'kütuste tarbimine EE (2)'!$N$9</c:f>
              <c:strCache>
                <c:ptCount val="1"/>
                <c:pt idx="0">
                  <c:v>Etanool</c:v>
                </c:pt>
              </c:strCache>
            </c:strRef>
          </c:tx>
          <c:invertIfNegative val="0"/>
          <c:val>
            <c:numRef>
              <c:f>'kütuste tarbimine EE (2)'!$O$9:$W$9</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ser>
          <c:idx val="5"/>
          <c:order val="5"/>
          <c:tx>
            <c:strRef>
              <c:f>'kütuste tarbimine EE (2)'!$N$11</c:f>
              <c:strCache>
                <c:ptCount val="1"/>
                <c:pt idx="0">
                  <c:v>Biodiisel</c:v>
                </c:pt>
              </c:strCache>
            </c:strRef>
          </c:tx>
          <c:invertIfNegative val="0"/>
          <c:val>
            <c:numRef>
              <c:f>'kütuste tarbimine EE (2)'!$O$11:$W$11</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ser>
          <c:idx val="6"/>
          <c:order val="6"/>
          <c:tx>
            <c:strRef>
              <c:f>'kütuste tarbimine EE (2)'!$N$12</c:f>
              <c:strCache>
                <c:ptCount val="1"/>
                <c:pt idx="0">
                  <c:v>Biometaan</c:v>
                </c:pt>
              </c:strCache>
            </c:strRef>
          </c:tx>
          <c:invertIfNegative val="0"/>
          <c:val>
            <c:numRef>
              <c:f>'kütuste tarbimine EE (2)'!$O$12:$W$12</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dLbls>
          <c:showLegendKey val="0"/>
          <c:showVal val="0"/>
          <c:showCatName val="0"/>
          <c:showSerName val="0"/>
          <c:showPercent val="0"/>
          <c:showBubbleSize val="0"/>
        </c:dLbls>
        <c:gapWidth val="150"/>
        <c:axId val="226329208"/>
        <c:axId val="226329600"/>
      </c:barChart>
      <c:catAx>
        <c:axId val="226329208"/>
        <c:scaling>
          <c:orientation val="minMax"/>
        </c:scaling>
        <c:delete val="0"/>
        <c:axPos val="b"/>
        <c:numFmt formatCode="General" sourceLinked="1"/>
        <c:majorTickMark val="out"/>
        <c:minorTickMark val="none"/>
        <c:tickLblPos val="nextTo"/>
        <c:crossAx val="226329600"/>
        <c:crosses val="autoZero"/>
        <c:auto val="1"/>
        <c:lblAlgn val="ctr"/>
        <c:lblOffset val="100"/>
        <c:noMultiLvlLbl val="0"/>
      </c:catAx>
      <c:valAx>
        <c:axId val="226329600"/>
        <c:scaling>
          <c:orientation val="minMax"/>
        </c:scaling>
        <c:delete val="0"/>
        <c:axPos val="l"/>
        <c:majorGridlines/>
        <c:numFmt formatCode="General" sourceLinked="1"/>
        <c:majorTickMark val="out"/>
        <c:minorTickMark val="none"/>
        <c:tickLblPos val="nextTo"/>
        <c:crossAx val="22632920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'kütuste tarbimine EE (2)'!$N$5</c:f>
              <c:strCache>
                <c:ptCount val="1"/>
                <c:pt idx="0">
                  <c:v>Elekter</c:v>
                </c:pt>
              </c:strCache>
            </c:strRef>
          </c:tx>
          <c:invertIfNegative val="0"/>
          <c:val>
            <c:numRef>
              <c:f>'kütuste tarbimine EE (2)'!$O$5:$W$5</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ser>
          <c:idx val="1"/>
          <c:order val="1"/>
          <c:tx>
            <c:strRef>
              <c:f>'kütuste tarbimine EE (2)'!$N$6</c:f>
              <c:strCache>
                <c:ptCount val="1"/>
                <c:pt idx="0">
                  <c:v>Bensiin</c:v>
                </c:pt>
              </c:strCache>
            </c:strRef>
          </c:tx>
          <c:invertIfNegative val="0"/>
          <c:val>
            <c:numRef>
              <c:f>'kütuste tarbimine EE (2)'!$O$6:$W$6</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ser>
          <c:idx val="2"/>
          <c:order val="2"/>
          <c:tx>
            <c:strRef>
              <c:f>'kütuste tarbimine EE (2)'!$N$7</c:f>
              <c:strCache>
                <c:ptCount val="1"/>
                <c:pt idx="0">
                  <c:v>Diisel</c:v>
                </c:pt>
              </c:strCache>
            </c:strRef>
          </c:tx>
          <c:invertIfNegative val="0"/>
          <c:val>
            <c:numRef>
              <c:f>'kütuste tarbimine EE (2)'!$O$7:$W$7</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ser>
          <c:idx val="3"/>
          <c:order val="3"/>
          <c:tx>
            <c:strRef>
              <c:f>'kütuste tarbimine EE (2)'!$N$8</c:f>
              <c:strCache>
                <c:ptCount val="1"/>
                <c:pt idx="0">
                  <c:v>Maagaas</c:v>
                </c:pt>
              </c:strCache>
            </c:strRef>
          </c:tx>
          <c:invertIfNegative val="0"/>
          <c:val>
            <c:numRef>
              <c:f>'kütuste tarbimine EE (2)'!$O$8:$W$8</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ser>
          <c:idx val="4"/>
          <c:order val="4"/>
          <c:tx>
            <c:strRef>
              <c:f>'kütuste tarbimine EE (2)'!$N$9</c:f>
              <c:strCache>
                <c:ptCount val="1"/>
                <c:pt idx="0">
                  <c:v>Etanool</c:v>
                </c:pt>
              </c:strCache>
            </c:strRef>
          </c:tx>
          <c:invertIfNegative val="0"/>
          <c:val>
            <c:numRef>
              <c:f>'kütuste tarbimine EE (2)'!$O$9:$W$9</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ser>
          <c:idx val="5"/>
          <c:order val="5"/>
          <c:tx>
            <c:strRef>
              <c:f>'kütuste tarbimine EE (2)'!$N$11</c:f>
              <c:strCache>
                <c:ptCount val="1"/>
                <c:pt idx="0">
                  <c:v>Biodiisel</c:v>
                </c:pt>
              </c:strCache>
            </c:strRef>
          </c:tx>
          <c:invertIfNegative val="0"/>
          <c:val>
            <c:numRef>
              <c:f>'kütuste tarbimine EE (2)'!$O$11:$W$11</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ser>
          <c:idx val="6"/>
          <c:order val="6"/>
          <c:tx>
            <c:strRef>
              <c:f>'kütuste tarbimine EE (2)'!$N$12</c:f>
              <c:strCache>
                <c:ptCount val="1"/>
                <c:pt idx="0">
                  <c:v>Biometaan</c:v>
                </c:pt>
              </c:strCache>
            </c:strRef>
          </c:tx>
          <c:invertIfNegative val="0"/>
          <c:val>
            <c:numRef>
              <c:f>'kütuste tarbimine EE (2)'!$O$12:$W$12</c:f>
            </c:numRef>
          </c:val>
          <c:extLst>
            <c:ext xmlns:c15="http://schemas.microsoft.com/office/drawing/2012/chart" uri="{02D57815-91ED-43cb-92C2-25804820EDAC}">
              <c15:filteredCategoryTitle>
                <c15:cat>
                  <c:multiLvlStrRef>
                    <c:extLst>
                      <c:ext uri="{02D57815-91ED-43cb-92C2-25804820EDAC}">
                        <c15:formulaRef>
                          <c15:sqref>'kütuste tarbimine EE (2)'!$O$4:$W$4</c15:sqref>
                        </c15:formulaRef>
                      </c:ext>
                    </c:extLst>
                  </c:multiLvlStrRef>
                </c15:cat>
              </c15:filteredCategoryTitle>
            </c:ext>
          </c:extLst>
        </c:ser>
        <c:dLbls>
          <c:showLegendKey val="0"/>
          <c:showVal val="0"/>
          <c:showCatName val="0"/>
          <c:showSerName val="0"/>
          <c:showPercent val="0"/>
          <c:showBubbleSize val="0"/>
        </c:dLbls>
        <c:gapWidth val="150"/>
        <c:axId val="226330384"/>
        <c:axId val="226330776"/>
      </c:barChart>
      <c:catAx>
        <c:axId val="226330384"/>
        <c:scaling>
          <c:orientation val="minMax"/>
        </c:scaling>
        <c:delete val="0"/>
        <c:axPos val="l"/>
        <c:numFmt formatCode="General" sourceLinked="1"/>
        <c:majorTickMark val="out"/>
        <c:minorTickMark val="none"/>
        <c:tickLblPos val="nextTo"/>
        <c:crossAx val="226330776"/>
        <c:crosses val="autoZero"/>
        <c:auto val="1"/>
        <c:lblAlgn val="ctr"/>
        <c:lblOffset val="100"/>
        <c:noMultiLvlLbl val="0"/>
      </c:catAx>
      <c:valAx>
        <c:axId val="226330776"/>
        <c:scaling>
          <c:orientation val="minMax"/>
        </c:scaling>
        <c:delete val="0"/>
        <c:axPos val="b"/>
        <c:majorGridlines/>
        <c:numFmt formatCode="General" sourceLinked="1"/>
        <c:majorTickMark val="out"/>
        <c:minorTickMark val="none"/>
        <c:tickLblPos val="nextTo"/>
        <c:crossAx val="22633038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'kütuste tarbimine EE (2)'!$N$49</c:f>
              <c:strCache>
                <c:ptCount val="1"/>
                <c:pt idx="0">
                  <c:v>Elekter</c:v>
                </c:pt>
              </c:strCache>
            </c:strRef>
          </c:tx>
          <c:invertIfNegative val="0"/>
          <c:val>
            <c:numRef>
              <c:f>'kütuste tarbimine EE (2)'!$O$49:$W$49</c:f>
            </c:numRef>
          </c:val>
          <c:extLst>
            <c:ext xmlns:c15="http://schemas.microsoft.com/office/drawing/2012/chart" uri="{02D57815-91ED-43cb-92C2-25804820EDAC}">
              <c15:filteredCategoryTitle>
                <c15:cat>
                  <c:multiLvlStrRef>
                    <c:extLst>
                      <c:ext uri="{02D57815-91ED-43cb-92C2-25804820EDAC}">
                        <c15:formulaRef>
                          <c15:sqref>'kütuste tarbimine EE (2)'!$O$48:$W$48</c15:sqref>
                        </c15:formulaRef>
                      </c:ext>
                    </c:extLst>
                  </c:multiLvlStrRef>
                </c15:cat>
              </c15:filteredCategoryTitle>
            </c:ext>
          </c:extLst>
        </c:ser>
        <c:ser>
          <c:idx val="1"/>
          <c:order val="1"/>
          <c:tx>
            <c:strRef>
              <c:f>'kütuste tarbimine EE (2)'!$N$50</c:f>
              <c:strCache>
                <c:ptCount val="1"/>
                <c:pt idx="0">
                  <c:v>Bensiin</c:v>
                </c:pt>
              </c:strCache>
            </c:strRef>
          </c:tx>
          <c:invertIfNegative val="0"/>
          <c:val>
            <c:numRef>
              <c:f>'kütuste tarbimine EE (2)'!$O$50:$W$50</c:f>
            </c:numRef>
          </c:val>
          <c:extLst>
            <c:ext xmlns:c15="http://schemas.microsoft.com/office/drawing/2012/chart" uri="{02D57815-91ED-43cb-92C2-25804820EDAC}">
              <c15:filteredCategoryTitle>
                <c15:cat>
                  <c:multiLvlStrRef>
                    <c:extLst>
                      <c:ext uri="{02D57815-91ED-43cb-92C2-25804820EDAC}">
                        <c15:formulaRef>
                          <c15:sqref>'kütuste tarbimine EE (2)'!$O$48:$W$48</c15:sqref>
                        </c15:formulaRef>
                      </c:ext>
                    </c:extLst>
                  </c:multiLvlStrRef>
                </c15:cat>
              </c15:filteredCategoryTitle>
            </c:ext>
          </c:extLst>
        </c:ser>
        <c:ser>
          <c:idx val="2"/>
          <c:order val="2"/>
          <c:tx>
            <c:strRef>
              <c:f>'kütuste tarbimine EE (2)'!$N$51</c:f>
              <c:strCache>
                <c:ptCount val="1"/>
                <c:pt idx="0">
                  <c:v>Diisel</c:v>
                </c:pt>
              </c:strCache>
            </c:strRef>
          </c:tx>
          <c:invertIfNegative val="0"/>
          <c:val>
            <c:numRef>
              <c:f>'kütuste tarbimine EE (2)'!$O$51:$W$51</c:f>
            </c:numRef>
          </c:val>
          <c:extLst>
            <c:ext xmlns:c15="http://schemas.microsoft.com/office/drawing/2012/chart" uri="{02D57815-91ED-43cb-92C2-25804820EDAC}">
              <c15:filteredCategoryTitle>
                <c15:cat>
                  <c:multiLvlStrRef>
                    <c:extLst>
                      <c:ext uri="{02D57815-91ED-43cb-92C2-25804820EDAC}">
                        <c15:formulaRef>
                          <c15:sqref>'kütuste tarbimine EE (2)'!$O$48:$W$48</c15:sqref>
                        </c15:formulaRef>
                      </c:ext>
                    </c:extLst>
                  </c:multiLvlStrRef>
                </c15:cat>
              </c15:filteredCategoryTitle>
            </c:ext>
          </c:extLst>
        </c:ser>
        <c:ser>
          <c:idx val="3"/>
          <c:order val="3"/>
          <c:tx>
            <c:strRef>
              <c:f>'kütuste tarbimine EE (2)'!$N$52</c:f>
              <c:strCache>
                <c:ptCount val="1"/>
                <c:pt idx="0">
                  <c:v>Maagaas</c:v>
                </c:pt>
              </c:strCache>
            </c:strRef>
          </c:tx>
          <c:invertIfNegative val="0"/>
          <c:val>
            <c:numRef>
              <c:f>'kütuste tarbimine EE (2)'!$O$52:$W$52</c:f>
            </c:numRef>
          </c:val>
          <c:extLst>
            <c:ext xmlns:c15="http://schemas.microsoft.com/office/drawing/2012/chart" uri="{02D57815-91ED-43cb-92C2-25804820EDAC}">
              <c15:filteredCategoryTitle>
                <c15:cat>
                  <c:multiLvlStrRef>
                    <c:extLst>
                      <c:ext uri="{02D57815-91ED-43cb-92C2-25804820EDAC}">
                        <c15:formulaRef>
                          <c15:sqref>'kütuste tarbimine EE (2)'!$O$48:$W$48</c15:sqref>
                        </c15:formulaRef>
                      </c:ext>
                    </c:extLst>
                  </c:multiLvlStrRef>
                </c15:cat>
              </c15:filteredCategoryTitle>
            </c:ext>
          </c:extLst>
        </c:ser>
        <c:ser>
          <c:idx val="4"/>
          <c:order val="4"/>
          <c:tx>
            <c:strRef>
              <c:f>'kütuste tarbimine EE (2)'!$N$53</c:f>
              <c:strCache>
                <c:ptCount val="1"/>
                <c:pt idx="0">
                  <c:v>Etanool</c:v>
                </c:pt>
              </c:strCache>
            </c:strRef>
          </c:tx>
          <c:invertIfNegative val="0"/>
          <c:val>
            <c:numRef>
              <c:f>'kütuste tarbimine EE (2)'!$O$53:$W$53</c:f>
            </c:numRef>
          </c:val>
          <c:extLst>
            <c:ext xmlns:c15="http://schemas.microsoft.com/office/drawing/2012/chart" uri="{02D57815-91ED-43cb-92C2-25804820EDAC}">
              <c15:filteredCategoryTitle>
                <c15:cat>
                  <c:multiLvlStrRef>
                    <c:extLst>
                      <c:ext uri="{02D57815-91ED-43cb-92C2-25804820EDAC}">
                        <c15:formulaRef>
                          <c15:sqref>'kütuste tarbimine EE (2)'!$O$48:$W$48</c15:sqref>
                        </c15:formulaRef>
                      </c:ext>
                    </c:extLst>
                  </c:multiLvlStrRef>
                </c15:cat>
              </c15:filteredCategoryTitle>
            </c:ext>
          </c:extLst>
        </c:ser>
        <c:ser>
          <c:idx val="5"/>
          <c:order val="5"/>
          <c:tx>
            <c:strRef>
              <c:f>'kütuste tarbimine EE (2)'!$N$54</c:f>
              <c:strCache>
                <c:ptCount val="1"/>
                <c:pt idx="0">
                  <c:v>Biodiisel</c:v>
                </c:pt>
              </c:strCache>
            </c:strRef>
          </c:tx>
          <c:invertIfNegative val="0"/>
          <c:val>
            <c:numRef>
              <c:f>'kütuste tarbimine EE (2)'!$O$54:$W$54</c:f>
            </c:numRef>
          </c:val>
          <c:extLst>
            <c:ext xmlns:c15="http://schemas.microsoft.com/office/drawing/2012/chart" uri="{02D57815-91ED-43cb-92C2-25804820EDAC}">
              <c15:filteredCategoryTitle>
                <c15:cat>
                  <c:multiLvlStrRef>
                    <c:extLst>
                      <c:ext uri="{02D57815-91ED-43cb-92C2-25804820EDAC}">
                        <c15:formulaRef>
                          <c15:sqref>'kütuste tarbimine EE (2)'!$O$48:$W$48</c15:sqref>
                        </c15:formulaRef>
                      </c:ext>
                    </c:extLst>
                  </c:multiLvlStrRef>
                </c15:cat>
              </c15:filteredCategoryTitle>
            </c:ext>
          </c:extLst>
        </c:ser>
        <c:ser>
          <c:idx val="6"/>
          <c:order val="6"/>
          <c:tx>
            <c:strRef>
              <c:f>'kütuste tarbimine EE (2)'!$N$55</c:f>
              <c:strCache>
                <c:ptCount val="1"/>
                <c:pt idx="0">
                  <c:v>Biometaan</c:v>
                </c:pt>
              </c:strCache>
            </c:strRef>
          </c:tx>
          <c:invertIfNegative val="0"/>
          <c:val>
            <c:numRef>
              <c:f>'kütuste tarbimine EE (2)'!$O$55:$W$55</c:f>
            </c:numRef>
          </c:val>
          <c:extLst>
            <c:ext xmlns:c15="http://schemas.microsoft.com/office/drawing/2012/chart" uri="{02D57815-91ED-43cb-92C2-25804820EDAC}">
              <c15:filteredCategoryTitle>
                <c15:cat>
                  <c:multiLvlStrRef>
                    <c:extLst>
                      <c:ext uri="{02D57815-91ED-43cb-92C2-25804820EDAC}">
                        <c15:formulaRef>
                          <c15:sqref>'kütuste tarbimine EE (2)'!$O$48:$W$48</c15:sqref>
                        </c15:formulaRef>
                      </c:ext>
                    </c:extLst>
                  </c:multiLvlStrRef>
                </c15:cat>
              </c15:filteredCategoryTitle>
            </c:ext>
          </c:extLst>
        </c:ser>
        <c:dLbls>
          <c:showLegendKey val="0"/>
          <c:showVal val="0"/>
          <c:showCatName val="0"/>
          <c:showSerName val="0"/>
          <c:showPercent val="0"/>
          <c:showBubbleSize val="0"/>
        </c:dLbls>
        <c:gapWidth val="150"/>
        <c:axId val="226331560"/>
        <c:axId val="226414024"/>
      </c:barChart>
      <c:catAx>
        <c:axId val="226331560"/>
        <c:scaling>
          <c:orientation val="minMax"/>
        </c:scaling>
        <c:delete val="0"/>
        <c:axPos val="l"/>
        <c:numFmt formatCode="General" sourceLinked="1"/>
        <c:majorTickMark val="out"/>
        <c:minorTickMark val="none"/>
        <c:tickLblPos val="nextTo"/>
        <c:crossAx val="226414024"/>
        <c:crosses val="autoZero"/>
        <c:auto val="1"/>
        <c:lblAlgn val="ctr"/>
        <c:lblOffset val="100"/>
        <c:noMultiLvlLbl val="0"/>
      </c:catAx>
      <c:valAx>
        <c:axId val="226414024"/>
        <c:scaling>
          <c:orientation val="minMax"/>
        </c:scaling>
        <c:delete val="0"/>
        <c:axPos val="b"/>
        <c:majorGridlines/>
        <c:numFmt formatCode="General" sourceLinked="1"/>
        <c:majorTickMark val="out"/>
        <c:minorTickMark val="none"/>
        <c:tickLblPos val="nextTo"/>
        <c:crossAx val="226331560"/>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'kütuste tarbimine EE'!$N$5</c:f>
              <c:strCache>
                <c:ptCount val="1"/>
                <c:pt idx="0">
                  <c:v>Elekter</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EE'!$O$5:$W$5</c:f>
              <c:numCache>
                <c:formatCode>General</c:formatCode>
                <c:ptCount val="9"/>
                <c:pt idx="0">
                  <c:v>5</c:v>
                </c:pt>
                <c:pt idx="1">
                  <c:v>6</c:v>
                </c:pt>
                <c:pt idx="2">
                  <c:v>6</c:v>
                </c:pt>
                <c:pt idx="3">
                  <c:v>16</c:v>
                </c:pt>
                <c:pt idx="4">
                  <c:v>25</c:v>
                </c:pt>
                <c:pt idx="5">
                  <c:v>33</c:v>
                </c:pt>
                <c:pt idx="6">
                  <c:v>41</c:v>
                </c:pt>
                <c:pt idx="7">
                  <c:v>44</c:v>
                </c:pt>
                <c:pt idx="8">
                  <c:v>56</c:v>
                </c:pt>
              </c:numCache>
            </c:numRef>
          </c:val>
        </c:ser>
        <c:ser>
          <c:idx val="1"/>
          <c:order val="1"/>
          <c:tx>
            <c:strRef>
              <c:f>'kütuste tarbimine EE'!$N$6</c:f>
              <c:strCache>
                <c:ptCount val="1"/>
                <c:pt idx="0">
                  <c:v>Bensiin</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EE'!$O$6:$W$6</c:f>
              <c:numCache>
                <c:formatCode>General</c:formatCode>
                <c:ptCount val="9"/>
                <c:pt idx="0">
                  <c:v>251</c:v>
                </c:pt>
                <c:pt idx="1">
                  <c:v>239</c:v>
                </c:pt>
                <c:pt idx="2">
                  <c:v>227</c:v>
                </c:pt>
                <c:pt idx="3">
                  <c:v>169</c:v>
                </c:pt>
                <c:pt idx="4">
                  <c:v>112</c:v>
                </c:pt>
                <c:pt idx="5">
                  <c:v>90</c:v>
                </c:pt>
                <c:pt idx="6">
                  <c:v>68</c:v>
                </c:pt>
                <c:pt idx="7">
                  <c:v>58</c:v>
                </c:pt>
                <c:pt idx="8">
                  <c:v>25</c:v>
                </c:pt>
              </c:numCache>
            </c:numRef>
          </c:val>
        </c:ser>
        <c:ser>
          <c:idx val="2"/>
          <c:order val="2"/>
          <c:tx>
            <c:strRef>
              <c:f>'kütuste tarbimine EE'!$N$7</c:f>
              <c:strCache>
                <c:ptCount val="1"/>
                <c:pt idx="0">
                  <c:v>Diisel</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EE'!$O$7:$W$7</c:f>
              <c:numCache>
                <c:formatCode>General</c:formatCode>
                <c:ptCount val="9"/>
                <c:pt idx="0">
                  <c:v>458</c:v>
                </c:pt>
                <c:pt idx="1">
                  <c:v>435</c:v>
                </c:pt>
                <c:pt idx="2">
                  <c:v>412</c:v>
                </c:pt>
                <c:pt idx="3">
                  <c:v>357</c:v>
                </c:pt>
                <c:pt idx="4">
                  <c:v>302</c:v>
                </c:pt>
                <c:pt idx="5">
                  <c:v>256</c:v>
                </c:pt>
                <c:pt idx="6">
                  <c:v>211</c:v>
                </c:pt>
                <c:pt idx="7">
                  <c:v>188</c:v>
                </c:pt>
                <c:pt idx="8">
                  <c:v>120</c:v>
                </c:pt>
              </c:numCache>
            </c:numRef>
          </c:val>
        </c:ser>
        <c:ser>
          <c:idx val="3"/>
          <c:order val="3"/>
          <c:tx>
            <c:strRef>
              <c:f>'kütuste tarbimine EE'!$N$8</c:f>
              <c:strCache>
                <c:ptCount val="1"/>
                <c:pt idx="0">
                  <c:v>Maagaas</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EE'!$O$8:$W$8</c:f>
              <c:numCache>
                <c:formatCode>General</c:formatCode>
                <c:ptCount val="9"/>
                <c:pt idx="0">
                  <c:v>0</c:v>
                </c:pt>
                <c:pt idx="1">
                  <c:v>12</c:v>
                </c:pt>
                <c:pt idx="2">
                  <c:v>25</c:v>
                </c:pt>
                <c:pt idx="3">
                  <c:v>45</c:v>
                </c:pt>
                <c:pt idx="4">
                  <c:v>65</c:v>
                </c:pt>
                <c:pt idx="5">
                  <c:v>59</c:v>
                </c:pt>
                <c:pt idx="6">
                  <c:v>53</c:v>
                </c:pt>
                <c:pt idx="7">
                  <c:v>50</c:v>
                </c:pt>
                <c:pt idx="8">
                  <c:v>41</c:v>
                </c:pt>
              </c:numCache>
            </c:numRef>
          </c:val>
        </c:ser>
        <c:ser>
          <c:idx val="4"/>
          <c:order val="4"/>
          <c:tx>
            <c:strRef>
              <c:f>'kütuste tarbimine EE'!$N$9</c:f>
              <c:strCache>
                <c:ptCount val="1"/>
                <c:pt idx="0">
                  <c:v>Etanool</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EE'!$O$9:$W$9</c:f>
              <c:numCache>
                <c:formatCode>General</c:formatCode>
                <c:ptCount val="9"/>
                <c:pt idx="0">
                  <c:v>0</c:v>
                </c:pt>
                <c:pt idx="1">
                  <c:v>13</c:v>
                </c:pt>
                <c:pt idx="2">
                  <c:v>26</c:v>
                </c:pt>
                <c:pt idx="3">
                  <c:v>32</c:v>
                </c:pt>
                <c:pt idx="4">
                  <c:v>37</c:v>
                </c:pt>
                <c:pt idx="5">
                  <c:v>30</c:v>
                </c:pt>
                <c:pt idx="6">
                  <c:v>23</c:v>
                </c:pt>
                <c:pt idx="7">
                  <c:v>19</c:v>
                </c:pt>
                <c:pt idx="8">
                  <c:v>8</c:v>
                </c:pt>
              </c:numCache>
            </c:numRef>
          </c:val>
        </c:ser>
        <c:ser>
          <c:idx val="5"/>
          <c:order val="5"/>
          <c:tx>
            <c:strRef>
              <c:f>'kütuste tarbimine EE'!$N$10</c:f>
              <c:strCache>
                <c:ptCount val="1"/>
                <c:pt idx="0">
                  <c:v>Biodiisel</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EE'!$O$10:$W$10</c:f>
              <c:numCache>
                <c:formatCode>General</c:formatCode>
                <c:ptCount val="9"/>
                <c:pt idx="0">
                  <c:v>0</c:v>
                </c:pt>
                <c:pt idx="1">
                  <c:v>2</c:v>
                </c:pt>
                <c:pt idx="2">
                  <c:v>4</c:v>
                </c:pt>
                <c:pt idx="3">
                  <c:v>2</c:v>
                </c:pt>
                <c:pt idx="4">
                  <c:v>0</c:v>
                </c:pt>
                <c:pt idx="5">
                  <c:v>0</c:v>
                </c:pt>
                <c:pt idx="6">
                  <c:v>0</c:v>
                </c:pt>
                <c:pt idx="7">
                  <c:v>0</c:v>
                </c:pt>
                <c:pt idx="8">
                  <c:v>0</c:v>
                </c:pt>
              </c:numCache>
            </c:numRef>
          </c:val>
        </c:ser>
        <c:ser>
          <c:idx val="6"/>
          <c:order val="6"/>
          <c:tx>
            <c:strRef>
              <c:f>'kütuste tarbimine EE'!$N$11</c:f>
              <c:strCache>
                <c:ptCount val="1"/>
                <c:pt idx="0">
                  <c:v>Biometaan</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EE'!$O$11:$W$11</c:f>
              <c:numCache>
                <c:formatCode>General</c:formatCode>
                <c:ptCount val="9"/>
                <c:pt idx="0">
                  <c:v>0</c:v>
                </c:pt>
                <c:pt idx="1">
                  <c:v>23</c:v>
                </c:pt>
                <c:pt idx="2">
                  <c:v>46</c:v>
                </c:pt>
                <c:pt idx="3">
                  <c:v>93</c:v>
                </c:pt>
                <c:pt idx="4">
                  <c:v>140</c:v>
                </c:pt>
                <c:pt idx="5">
                  <c:v>135</c:v>
                </c:pt>
                <c:pt idx="6">
                  <c:v>130</c:v>
                </c:pt>
                <c:pt idx="7">
                  <c:v>128</c:v>
                </c:pt>
                <c:pt idx="8">
                  <c:v>121</c:v>
                </c:pt>
              </c:numCache>
            </c:numRef>
          </c:val>
        </c:ser>
        <c:dLbls>
          <c:showLegendKey val="0"/>
          <c:showVal val="0"/>
          <c:showCatName val="0"/>
          <c:showSerName val="0"/>
          <c:showPercent val="0"/>
          <c:showBubbleSize val="0"/>
        </c:dLbls>
        <c:gapWidth val="150"/>
        <c:axId val="209360872"/>
        <c:axId val="209721208"/>
      </c:barChart>
      <c:catAx>
        <c:axId val="209360872"/>
        <c:scaling>
          <c:orientation val="minMax"/>
        </c:scaling>
        <c:delete val="0"/>
        <c:axPos val="b"/>
        <c:numFmt formatCode="General" sourceLinked="1"/>
        <c:majorTickMark val="out"/>
        <c:minorTickMark val="none"/>
        <c:tickLblPos val="nextTo"/>
        <c:crossAx val="209721208"/>
        <c:crosses val="autoZero"/>
        <c:auto val="1"/>
        <c:lblAlgn val="ctr"/>
        <c:lblOffset val="100"/>
        <c:noMultiLvlLbl val="0"/>
      </c:catAx>
      <c:valAx>
        <c:axId val="209721208"/>
        <c:scaling>
          <c:orientation val="minMax"/>
        </c:scaling>
        <c:delete val="0"/>
        <c:axPos val="l"/>
        <c:majorGridlines/>
        <c:numFmt formatCode="General" sourceLinked="1"/>
        <c:majorTickMark val="out"/>
        <c:minorTickMark val="none"/>
        <c:tickLblPos val="nextTo"/>
        <c:crossAx val="20936087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'kütuste tarbimine EE'!$N$5</c:f>
              <c:strCache>
                <c:ptCount val="1"/>
                <c:pt idx="0">
                  <c:v>Elekter</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EE'!$O$5:$W$5</c:f>
              <c:numCache>
                <c:formatCode>General</c:formatCode>
                <c:ptCount val="9"/>
                <c:pt idx="0">
                  <c:v>5</c:v>
                </c:pt>
                <c:pt idx="1">
                  <c:v>6</c:v>
                </c:pt>
                <c:pt idx="2">
                  <c:v>6</c:v>
                </c:pt>
                <c:pt idx="3">
                  <c:v>16</c:v>
                </c:pt>
                <c:pt idx="4">
                  <c:v>25</c:v>
                </c:pt>
                <c:pt idx="5">
                  <c:v>33</c:v>
                </c:pt>
                <c:pt idx="6">
                  <c:v>41</c:v>
                </c:pt>
                <c:pt idx="7">
                  <c:v>44</c:v>
                </c:pt>
                <c:pt idx="8">
                  <c:v>56</c:v>
                </c:pt>
              </c:numCache>
            </c:numRef>
          </c:val>
        </c:ser>
        <c:ser>
          <c:idx val="1"/>
          <c:order val="1"/>
          <c:tx>
            <c:strRef>
              <c:f>'kütuste tarbimine EE'!$N$6</c:f>
              <c:strCache>
                <c:ptCount val="1"/>
                <c:pt idx="0">
                  <c:v>Bensiin</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EE'!$O$6:$W$6</c:f>
              <c:numCache>
                <c:formatCode>General</c:formatCode>
                <c:ptCount val="9"/>
                <c:pt idx="0">
                  <c:v>251</c:v>
                </c:pt>
                <c:pt idx="1">
                  <c:v>239</c:v>
                </c:pt>
                <c:pt idx="2">
                  <c:v>227</c:v>
                </c:pt>
                <c:pt idx="3">
                  <c:v>169</c:v>
                </c:pt>
                <c:pt idx="4">
                  <c:v>112</c:v>
                </c:pt>
                <c:pt idx="5">
                  <c:v>90</c:v>
                </c:pt>
                <c:pt idx="6">
                  <c:v>68</c:v>
                </c:pt>
                <c:pt idx="7">
                  <c:v>58</c:v>
                </c:pt>
                <c:pt idx="8">
                  <c:v>25</c:v>
                </c:pt>
              </c:numCache>
            </c:numRef>
          </c:val>
        </c:ser>
        <c:ser>
          <c:idx val="2"/>
          <c:order val="2"/>
          <c:tx>
            <c:strRef>
              <c:f>'kütuste tarbimine EE'!$N$7</c:f>
              <c:strCache>
                <c:ptCount val="1"/>
                <c:pt idx="0">
                  <c:v>Diisel</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EE'!$O$7:$W$7</c:f>
              <c:numCache>
                <c:formatCode>General</c:formatCode>
                <c:ptCount val="9"/>
                <c:pt idx="0">
                  <c:v>458</c:v>
                </c:pt>
                <c:pt idx="1">
                  <c:v>435</c:v>
                </c:pt>
                <c:pt idx="2">
                  <c:v>412</c:v>
                </c:pt>
                <c:pt idx="3">
                  <c:v>357</c:v>
                </c:pt>
                <c:pt idx="4">
                  <c:v>302</c:v>
                </c:pt>
                <c:pt idx="5">
                  <c:v>256</c:v>
                </c:pt>
                <c:pt idx="6">
                  <c:v>211</c:v>
                </c:pt>
                <c:pt idx="7">
                  <c:v>188</c:v>
                </c:pt>
                <c:pt idx="8">
                  <c:v>120</c:v>
                </c:pt>
              </c:numCache>
            </c:numRef>
          </c:val>
        </c:ser>
        <c:ser>
          <c:idx val="3"/>
          <c:order val="3"/>
          <c:tx>
            <c:strRef>
              <c:f>'kütuste tarbimine EE'!$N$8</c:f>
              <c:strCache>
                <c:ptCount val="1"/>
                <c:pt idx="0">
                  <c:v>Maagaas</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EE'!$O$8:$W$8</c:f>
              <c:numCache>
                <c:formatCode>General</c:formatCode>
                <c:ptCount val="9"/>
                <c:pt idx="0">
                  <c:v>0</c:v>
                </c:pt>
                <c:pt idx="1">
                  <c:v>12</c:v>
                </c:pt>
                <c:pt idx="2">
                  <c:v>25</c:v>
                </c:pt>
                <c:pt idx="3">
                  <c:v>45</c:v>
                </c:pt>
                <c:pt idx="4">
                  <c:v>65</c:v>
                </c:pt>
                <c:pt idx="5">
                  <c:v>59</c:v>
                </c:pt>
                <c:pt idx="6">
                  <c:v>53</c:v>
                </c:pt>
                <c:pt idx="7">
                  <c:v>50</c:v>
                </c:pt>
                <c:pt idx="8">
                  <c:v>41</c:v>
                </c:pt>
              </c:numCache>
            </c:numRef>
          </c:val>
        </c:ser>
        <c:ser>
          <c:idx val="4"/>
          <c:order val="4"/>
          <c:tx>
            <c:strRef>
              <c:f>'kütuste tarbimine EE'!$N$9</c:f>
              <c:strCache>
                <c:ptCount val="1"/>
                <c:pt idx="0">
                  <c:v>Etanool</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EE'!$O$9:$W$9</c:f>
              <c:numCache>
                <c:formatCode>General</c:formatCode>
                <c:ptCount val="9"/>
                <c:pt idx="0">
                  <c:v>0</c:v>
                </c:pt>
                <c:pt idx="1">
                  <c:v>13</c:v>
                </c:pt>
                <c:pt idx="2">
                  <c:v>26</c:v>
                </c:pt>
                <c:pt idx="3">
                  <c:v>32</c:v>
                </c:pt>
                <c:pt idx="4">
                  <c:v>37</c:v>
                </c:pt>
                <c:pt idx="5">
                  <c:v>30</c:v>
                </c:pt>
                <c:pt idx="6">
                  <c:v>23</c:v>
                </c:pt>
                <c:pt idx="7">
                  <c:v>19</c:v>
                </c:pt>
                <c:pt idx="8">
                  <c:v>8</c:v>
                </c:pt>
              </c:numCache>
            </c:numRef>
          </c:val>
        </c:ser>
        <c:ser>
          <c:idx val="5"/>
          <c:order val="5"/>
          <c:tx>
            <c:strRef>
              <c:f>'kütuste tarbimine EE'!$N$10</c:f>
              <c:strCache>
                <c:ptCount val="1"/>
                <c:pt idx="0">
                  <c:v>Biodiisel</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EE'!$O$10:$W$10</c:f>
              <c:numCache>
                <c:formatCode>General</c:formatCode>
                <c:ptCount val="9"/>
                <c:pt idx="0">
                  <c:v>0</c:v>
                </c:pt>
                <c:pt idx="1">
                  <c:v>2</c:v>
                </c:pt>
                <c:pt idx="2">
                  <c:v>4</c:v>
                </c:pt>
                <c:pt idx="3">
                  <c:v>2</c:v>
                </c:pt>
                <c:pt idx="4">
                  <c:v>0</c:v>
                </c:pt>
                <c:pt idx="5">
                  <c:v>0</c:v>
                </c:pt>
                <c:pt idx="6">
                  <c:v>0</c:v>
                </c:pt>
                <c:pt idx="7">
                  <c:v>0</c:v>
                </c:pt>
                <c:pt idx="8">
                  <c:v>0</c:v>
                </c:pt>
              </c:numCache>
            </c:numRef>
          </c:val>
        </c:ser>
        <c:ser>
          <c:idx val="6"/>
          <c:order val="6"/>
          <c:tx>
            <c:strRef>
              <c:f>'kütuste tarbimine EE'!$N$11</c:f>
              <c:strCache>
                <c:ptCount val="1"/>
                <c:pt idx="0">
                  <c:v>Biometaan</c:v>
                </c:pt>
              </c:strCache>
            </c:strRef>
          </c:tx>
          <c:invertIfNegative val="0"/>
          <c:cat>
            <c:numRef>
              <c:f>'kütuste tarbimine EE'!$O$4:$W$4</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EE'!$O$11:$W$11</c:f>
              <c:numCache>
                <c:formatCode>General</c:formatCode>
                <c:ptCount val="9"/>
                <c:pt idx="0">
                  <c:v>0</c:v>
                </c:pt>
                <c:pt idx="1">
                  <c:v>23</c:v>
                </c:pt>
                <c:pt idx="2">
                  <c:v>46</c:v>
                </c:pt>
                <c:pt idx="3">
                  <c:v>93</c:v>
                </c:pt>
                <c:pt idx="4">
                  <c:v>140</c:v>
                </c:pt>
                <c:pt idx="5">
                  <c:v>135</c:v>
                </c:pt>
                <c:pt idx="6">
                  <c:v>130</c:v>
                </c:pt>
                <c:pt idx="7">
                  <c:v>128</c:v>
                </c:pt>
                <c:pt idx="8">
                  <c:v>121</c:v>
                </c:pt>
              </c:numCache>
            </c:numRef>
          </c:val>
        </c:ser>
        <c:dLbls>
          <c:showLegendKey val="0"/>
          <c:showVal val="0"/>
          <c:showCatName val="0"/>
          <c:showSerName val="0"/>
          <c:showPercent val="0"/>
          <c:showBubbleSize val="0"/>
        </c:dLbls>
        <c:gapWidth val="150"/>
        <c:axId val="210728032"/>
        <c:axId val="210725264"/>
      </c:barChart>
      <c:catAx>
        <c:axId val="210728032"/>
        <c:scaling>
          <c:orientation val="minMax"/>
        </c:scaling>
        <c:delete val="0"/>
        <c:axPos val="l"/>
        <c:numFmt formatCode="General" sourceLinked="1"/>
        <c:majorTickMark val="out"/>
        <c:minorTickMark val="none"/>
        <c:tickLblPos val="nextTo"/>
        <c:crossAx val="210725264"/>
        <c:crosses val="autoZero"/>
        <c:auto val="1"/>
        <c:lblAlgn val="ctr"/>
        <c:lblOffset val="100"/>
        <c:noMultiLvlLbl val="0"/>
      </c:catAx>
      <c:valAx>
        <c:axId val="210725264"/>
        <c:scaling>
          <c:orientation val="minMax"/>
        </c:scaling>
        <c:delete val="0"/>
        <c:axPos val="b"/>
        <c:majorGridlines/>
        <c:numFmt formatCode="General" sourceLinked="1"/>
        <c:majorTickMark val="out"/>
        <c:minorTickMark val="none"/>
        <c:tickLblPos val="nextTo"/>
        <c:crossAx val="21072803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'kütuste tarbimine EE'!$N$46</c:f>
              <c:strCache>
                <c:ptCount val="1"/>
                <c:pt idx="0">
                  <c:v>Elekter</c:v>
                </c:pt>
              </c:strCache>
            </c:strRef>
          </c:tx>
          <c:invertIfNegative val="0"/>
          <c:cat>
            <c:numRef>
              <c:f>'kütuste tarbimine EE'!$O$45:$W$45</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EE'!$O$46:$W$46</c:f>
              <c:numCache>
                <c:formatCode>General</c:formatCode>
                <c:ptCount val="9"/>
                <c:pt idx="0">
                  <c:v>5</c:v>
                </c:pt>
                <c:pt idx="1">
                  <c:v>5</c:v>
                </c:pt>
                <c:pt idx="2">
                  <c:v>5</c:v>
                </c:pt>
                <c:pt idx="3">
                  <c:v>7</c:v>
                </c:pt>
                <c:pt idx="4">
                  <c:v>10</c:v>
                </c:pt>
                <c:pt idx="5">
                  <c:v>13</c:v>
                </c:pt>
                <c:pt idx="6">
                  <c:v>16</c:v>
                </c:pt>
                <c:pt idx="7">
                  <c:v>18</c:v>
                </c:pt>
                <c:pt idx="8">
                  <c:v>22</c:v>
                </c:pt>
              </c:numCache>
            </c:numRef>
          </c:val>
        </c:ser>
        <c:ser>
          <c:idx val="1"/>
          <c:order val="1"/>
          <c:tx>
            <c:strRef>
              <c:f>'kütuste tarbimine EE'!$N$47</c:f>
              <c:strCache>
                <c:ptCount val="1"/>
                <c:pt idx="0">
                  <c:v>Bensiin</c:v>
                </c:pt>
              </c:strCache>
            </c:strRef>
          </c:tx>
          <c:invertIfNegative val="0"/>
          <c:cat>
            <c:numRef>
              <c:f>'kütuste tarbimine EE'!$O$45:$W$45</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EE'!$O$47:$W$47</c:f>
              <c:numCache>
                <c:formatCode>General</c:formatCode>
                <c:ptCount val="9"/>
                <c:pt idx="0">
                  <c:v>251</c:v>
                </c:pt>
                <c:pt idx="1">
                  <c:v>307</c:v>
                </c:pt>
                <c:pt idx="2">
                  <c:v>364</c:v>
                </c:pt>
                <c:pt idx="3">
                  <c:v>306</c:v>
                </c:pt>
                <c:pt idx="4">
                  <c:v>249</c:v>
                </c:pt>
                <c:pt idx="5">
                  <c:v>239</c:v>
                </c:pt>
                <c:pt idx="6">
                  <c:v>230</c:v>
                </c:pt>
                <c:pt idx="7">
                  <c:v>225</c:v>
                </c:pt>
                <c:pt idx="8">
                  <c:v>211</c:v>
                </c:pt>
              </c:numCache>
            </c:numRef>
          </c:val>
        </c:ser>
        <c:ser>
          <c:idx val="2"/>
          <c:order val="2"/>
          <c:tx>
            <c:strRef>
              <c:f>'kütuste tarbimine EE'!$N$48</c:f>
              <c:strCache>
                <c:ptCount val="1"/>
                <c:pt idx="0">
                  <c:v>Diisel</c:v>
                </c:pt>
              </c:strCache>
            </c:strRef>
          </c:tx>
          <c:invertIfNegative val="0"/>
          <c:cat>
            <c:numRef>
              <c:f>'kütuste tarbimine EE'!$O$45:$W$45</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EE'!$O$48:$W$48</c:f>
              <c:numCache>
                <c:formatCode>General</c:formatCode>
                <c:ptCount val="9"/>
                <c:pt idx="0">
                  <c:v>458</c:v>
                </c:pt>
                <c:pt idx="1">
                  <c:v>479</c:v>
                </c:pt>
                <c:pt idx="2">
                  <c:v>500</c:v>
                </c:pt>
                <c:pt idx="3">
                  <c:v>599</c:v>
                </c:pt>
                <c:pt idx="4">
                  <c:v>697</c:v>
                </c:pt>
                <c:pt idx="5">
                  <c:v>663</c:v>
                </c:pt>
                <c:pt idx="6">
                  <c:v>629</c:v>
                </c:pt>
                <c:pt idx="7">
                  <c:v>612</c:v>
                </c:pt>
                <c:pt idx="8">
                  <c:v>561</c:v>
                </c:pt>
              </c:numCache>
            </c:numRef>
          </c:val>
        </c:ser>
        <c:ser>
          <c:idx val="3"/>
          <c:order val="3"/>
          <c:tx>
            <c:strRef>
              <c:f>'kütuste tarbimine EE'!$N$49</c:f>
              <c:strCache>
                <c:ptCount val="1"/>
                <c:pt idx="0">
                  <c:v>Maagaas</c:v>
                </c:pt>
              </c:strCache>
            </c:strRef>
          </c:tx>
          <c:invertIfNegative val="0"/>
          <c:cat>
            <c:numRef>
              <c:f>'kütuste tarbimine EE'!$O$45:$W$45</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EE'!$O$49:$W$49</c:f>
              <c:numCache>
                <c:formatCode>General</c:formatCode>
                <c:ptCount val="9"/>
                <c:pt idx="0">
                  <c:v>0</c:v>
                </c:pt>
                <c:pt idx="1">
                  <c:v>5</c:v>
                </c:pt>
                <c:pt idx="2">
                  <c:v>10</c:v>
                </c:pt>
                <c:pt idx="3">
                  <c:v>23</c:v>
                </c:pt>
                <c:pt idx="4">
                  <c:v>36</c:v>
                </c:pt>
                <c:pt idx="5">
                  <c:v>33</c:v>
                </c:pt>
                <c:pt idx="6">
                  <c:v>30</c:v>
                </c:pt>
                <c:pt idx="7">
                  <c:v>29</c:v>
                </c:pt>
                <c:pt idx="8">
                  <c:v>25</c:v>
                </c:pt>
              </c:numCache>
            </c:numRef>
          </c:val>
        </c:ser>
        <c:ser>
          <c:idx val="4"/>
          <c:order val="4"/>
          <c:tx>
            <c:strRef>
              <c:f>'kütuste tarbimine EE'!$N$50</c:f>
              <c:strCache>
                <c:ptCount val="1"/>
                <c:pt idx="0">
                  <c:v>Etanool</c:v>
                </c:pt>
              </c:strCache>
            </c:strRef>
          </c:tx>
          <c:invertIfNegative val="0"/>
          <c:cat>
            <c:numRef>
              <c:f>'kütuste tarbimine EE'!$O$45:$W$45</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EE'!$O$50:$W$50</c:f>
              <c:numCache>
                <c:formatCode>General</c:formatCode>
                <c:ptCount val="9"/>
                <c:pt idx="0">
                  <c:v>0</c:v>
                </c:pt>
                <c:pt idx="1">
                  <c:v>14</c:v>
                </c:pt>
                <c:pt idx="2">
                  <c:v>28</c:v>
                </c:pt>
                <c:pt idx="3">
                  <c:v>28</c:v>
                </c:pt>
                <c:pt idx="4">
                  <c:v>28</c:v>
                </c:pt>
                <c:pt idx="5">
                  <c:v>27</c:v>
                </c:pt>
                <c:pt idx="6">
                  <c:v>26</c:v>
                </c:pt>
                <c:pt idx="7">
                  <c:v>25</c:v>
                </c:pt>
                <c:pt idx="8">
                  <c:v>23</c:v>
                </c:pt>
              </c:numCache>
            </c:numRef>
          </c:val>
        </c:ser>
        <c:ser>
          <c:idx val="5"/>
          <c:order val="5"/>
          <c:tx>
            <c:strRef>
              <c:f>'kütuste tarbimine EE'!$N$51</c:f>
              <c:strCache>
                <c:ptCount val="1"/>
                <c:pt idx="0">
                  <c:v>Biodiisel</c:v>
                </c:pt>
              </c:strCache>
            </c:strRef>
          </c:tx>
          <c:invertIfNegative val="0"/>
          <c:cat>
            <c:numRef>
              <c:f>'kütuste tarbimine EE'!$O$45:$W$45</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EE'!$O$51:$W$51</c:f>
              <c:numCache>
                <c:formatCode>General</c:formatCode>
                <c:ptCount val="9"/>
                <c:pt idx="0">
                  <c:v>0</c:v>
                </c:pt>
                <c:pt idx="1">
                  <c:v>28</c:v>
                </c:pt>
                <c:pt idx="2">
                  <c:v>56</c:v>
                </c:pt>
                <c:pt idx="3">
                  <c:v>58</c:v>
                </c:pt>
                <c:pt idx="4">
                  <c:v>61</c:v>
                </c:pt>
                <c:pt idx="5">
                  <c:v>60</c:v>
                </c:pt>
                <c:pt idx="6">
                  <c:v>59</c:v>
                </c:pt>
                <c:pt idx="7">
                  <c:v>58</c:v>
                </c:pt>
                <c:pt idx="8">
                  <c:v>56</c:v>
                </c:pt>
              </c:numCache>
            </c:numRef>
          </c:val>
        </c:ser>
        <c:ser>
          <c:idx val="6"/>
          <c:order val="6"/>
          <c:tx>
            <c:strRef>
              <c:f>'kütuste tarbimine EE'!$N$52</c:f>
              <c:strCache>
                <c:ptCount val="1"/>
                <c:pt idx="0">
                  <c:v>Biometaan</c:v>
                </c:pt>
              </c:strCache>
            </c:strRef>
          </c:tx>
          <c:invertIfNegative val="0"/>
          <c:cat>
            <c:numRef>
              <c:f>'kütuste tarbimine EE'!$O$45:$W$45</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'kütuste tarbimine EE'!$O$52:$W$52</c:f>
              <c:numCache>
                <c:formatCode>General</c:formatCode>
                <c:ptCount val="9"/>
                <c:pt idx="0">
                  <c:v>0</c:v>
                </c:pt>
                <c:pt idx="1">
                  <c:v>5</c:v>
                </c:pt>
                <c:pt idx="2">
                  <c:v>10</c:v>
                </c:pt>
                <c:pt idx="3">
                  <c:v>23</c:v>
                </c:pt>
                <c:pt idx="4">
                  <c:v>36</c:v>
                </c:pt>
                <c:pt idx="5">
                  <c:v>35</c:v>
                </c:pt>
                <c:pt idx="6">
                  <c:v>35</c:v>
                </c:pt>
                <c:pt idx="7">
                  <c:v>35</c:v>
                </c:pt>
                <c:pt idx="8">
                  <c:v>34</c:v>
                </c:pt>
              </c:numCache>
            </c:numRef>
          </c:val>
        </c:ser>
        <c:dLbls>
          <c:showLegendKey val="0"/>
          <c:showVal val="0"/>
          <c:showCatName val="0"/>
          <c:showSerName val="0"/>
          <c:showPercent val="0"/>
          <c:showBubbleSize val="0"/>
        </c:dLbls>
        <c:gapWidth val="150"/>
        <c:axId val="210716048"/>
        <c:axId val="211221992"/>
      </c:barChart>
      <c:catAx>
        <c:axId val="210716048"/>
        <c:scaling>
          <c:orientation val="minMax"/>
        </c:scaling>
        <c:delete val="0"/>
        <c:axPos val="l"/>
        <c:numFmt formatCode="General" sourceLinked="1"/>
        <c:majorTickMark val="out"/>
        <c:minorTickMark val="none"/>
        <c:tickLblPos val="nextTo"/>
        <c:crossAx val="211221992"/>
        <c:crosses val="autoZero"/>
        <c:auto val="1"/>
        <c:lblAlgn val="ctr"/>
        <c:lblOffset val="100"/>
        <c:noMultiLvlLbl val="0"/>
      </c:catAx>
      <c:valAx>
        <c:axId val="211221992"/>
        <c:scaling>
          <c:orientation val="minMax"/>
        </c:scaling>
        <c:delete val="0"/>
        <c:axPos val="b"/>
        <c:majorGridlines/>
        <c:numFmt formatCode="General" sourceLinked="1"/>
        <c:majorTickMark val="out"/>
        <c:minorTickMark val="none"/>
        <c:tickLblPos val="nextTo"/>
        <c:crossAx val="21071604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0113287620784601E-2"/>
          <c:y val="2.54901960784314E-2"/>
          <c:w val="0.903903161882048"/>
          <c:h val="0.92481056044465004"/>
        </c:manualLayout>
      </c:layout>
      <c:barChart>
        <c:barDir val="col"/>
        <c:grouping val="clustered"/>
        <c:varyColors val="0"/>
        <c:ser>
          <c:idx val="0"/>
          <c:order val="0"/>
          <c:tx>
            <c:strRef>
              <c:f>Sheet2!$M$17</c:f>
              <c:strCache>
                <c:ptCount val="1"/>
                <c:pt idx="0">
                  <c:v>Biometaani Eksport mln Nm3</c:v>
                </c:pt>
              </c:strCache>
            </c:strRef>
          </c:tx>
          <c:invertIfNegative val="0"/>
          <c:val>
            <c:numRef>
              <c:f>Sheet2!$N$17:$V$17</c:f>
              <c:numCache>
                <c:formatCode>#,##0</c:formatCode>
                <c:ptCount val="9"/>
                <c:pt idx="0">
                  <c:v>0</c:v>
                </c:pt>
                <c:pt idx="1">
                  <c:v>3.0555555555555571</c:v>
                </c:pt>
                <c:pt idx="2">
                  <c:v>101.11111111111111</c:v>
                </c:pt>
                <c:pt idx="3">
                  <c:v>91.833333333333343</c:v>
                </c:pt>
                <c:pt idx="4">
                  <c:v>100.55555555555557</c:v>
                </c:pt>
                <c:pt idx="5">
                  <c:v>143.05555555555557</c:v>
                </c:pt>
                <c:pt idx="6">
                  <c:v>172.58333333333334</c:v>
                </c:pt>
                <c:pt idx="7">
                  <c:v>201.33333333333331</c:v>
                </c:pt>
                <c:pt idx="8">
                  <c:v>230.38333333333335</c:v>
                </c:pt>
              </c:numCache>
            </c:numRef>
          </c:val>
        </c:ser>
        <c:ser>
          <c:idx val="1"/>
          <c:order val="1"/>
          <c:tx>
            <c:strRef>
              <c:f>Sheet2!$M$18</c:f>
              <c:strCache>
                <c:ptCount val="1"/>
                <c:pt idx="0">
                  <c:v>Biometaani Kodumaine tarbimine transpordis mln Nm3</c:v>
                </c:pt>
              </c:strCache>
            </c:strRef>
          </c:tx>
          <c:invertIfNegative val="0"/>
          <c:val>
            <c:numRef>
              <c:f>Sheet2!$N$18:$V$18</c:f>
              <c:numCache>
                <c:formatCode>#,##0</c:formatCode>
                <c:ptCount val="9"/>
                <c:pt idx="0">
                  <c:v>1</c:v>
                </c:pt>
                <c:pt idx="1">
                  <c:v>26.944444444444443</c:v>
                </c:pt>
                <c:pt idx="2">
                  <c:v>53.888888888888886</c:v>
                </c:pt>
                <c:pt idx="3">
                  <c:v>108.16666666666666</c:v>
                </c:pt>
                <c:pt idx="4">
                  <c:v>162.44444444444443</c:v>
                </c:pt>
                <c:pt idx="5">
                  <c:v>156.94444444444443</c:v>
                </c:pt>
                <c:pt idx="6">
                  <c:v>151.41666666666666</c:v>
                </c:pt>
                <c:pt idx="7">
                  <c:v>148.66666666666669</c:v>
                </c:pt>
                <c:pt idx="8">
                  <c:v>140.41666666666666</c:v>
                </c:pt>
              </c:numCache>
            </c:numRef>
          </c:val>
        </c:ser>
        <c:ser>
          <c:idx val="2"/>
          <c:order val="2"/>
          <c:tx>
            <c:strRef>
              <c:f>Sheet2!$M$19</c:f>
              <c:strCache>
                <c:ptCount val="1"/>
                <c:pt idx="0">
                  <c:v>Biometaani potentsiaal mln Nm3</c:v>
                </c:pt>
              </c:strCache>
            </c:strRef>
          </c:tx>
          <c:invertIfNegative val="0"/>
          <c:val>
            <c:numRef>
              <c:f>Sheet2!$N$19:$V$19</c:f>
              <c:numCache>
                <c:formatCode>General</c:formatCode>
                <c:ptCount val="9"/>
                <c:pt idx="0">
                  <c:v>1</c:v>
                </c:pt>
                <c:pt idx="1">
                  <c:v>30</c:v>
                </c:pt>
                <c:pt idx="2">
                  <c:v>155</c:v>
                </c:pt>
                <c:pt idx="3">
                  <c:v>200</c:v>
                </c:pt>
                <c:pt idx="4">
                  <c:v>263</c:v>
                </c:pt>
                <c:pt idx="5">
                  <c:v>300</c:v>
                </c:pt>
                <c:pt idx="6">
                  <c:v>324</c:v>
                </c:pt>
                <c:pt idx="7">
                  <c:v>350</c:v>
                </c:pt>
                <c:pt idx="8">
                  <c:v>370.8</c:v>
                </c:pt>
              </c:numCache>
            </c:numRef>
          </c:val>
        </c:ser>
        <c:dLbls>
          <c:showLegendKey val="0"/>
          <c:showVal val="0"/>
          <c:showCatName val="0"/>
          <c:showSerName val="0"/>
          <c:showPercent val="0"/>
          <c:showBubbleSize val="0"/>
        </c:dLbls>
        <c:gapWidth val="150"/>
        <c:axId val="210890744"/>
        <c:axId val="210891136"/>
      </c:barChart>
      <c:catAx>
        <c:axId val="210890744"/>
        <c:scaling>
          <c:orientation val="minMax"/>
        </c:scaling>
        <c:delete val="0"/>
        <c:axPos val="b"/>
        <c:majorTickMark val="out"/>
        <c:minorTickMark val="none"/>
        <c:tickLblPos val="nextTo"/>
        <c:crossAx val="210891136"/>
        <c:crosses val="autoZero"/>
        <c:auto val="1"/>
        <c:lblAlgn val="ctr"/>
        <c:lblOffset val="100"/>
        <c:noMultiLvlLbl val="0"/>
      </c:catAx>
      <c:valAx>
        <c:axId val="210891136"/>
        <c:scaling>
          <c:orientation val="minMax"/>
        </c:scaling>
        <c:delete val="0"/>
        <c:axPos val="l"/>
        <c:majorGridlines/>
        <c:numFmt formatCode="#,##0" sourceLinked="1"/>
        <c:majorTickMark val="out"/>
        <c:minorTickMark val="none"/>
        <c:tickLblPos val="nextTo"/>
        <c:crossAx val="210890744"/>
        <c:crosses val="autoZero"/>
        <c:crossBetween val="between"/>
      </c:valAx>
    </c:plotArea>
    <c:legend>
      <c:legendPos val="r"/>
      <c:layout>
        <c:manualLayout>
          <c:xMode val="edge"/>
          <c:yMode val="edge"/>
          <c:x val="5.9035353802251202E-2"/>
          <c:y val="5.6618805002315899E-2"/>
          <c:w val="0.34224190239026397"/>
          <c:h val="0.451865536038764"/>
        </c:manualLayout>
      </c:layout>
      <c:overlay val="0"/>
      <c:txPr>
        <a:bodyPr/>
        <a:lstStyle/>
        <a:p>
          <a:pPr>
            <a:defRPr sz="1400"/>
          </a:pPr>
          <a:endParaRPr lang="et-EE"/>
        </a:p>
      </c:txPr>
    </c:legend>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Sheet2!$M$16</c:f>
              <c:strCache>
                <c:ptCount val="1"/>
                <c:pt idx="0">
                  <c:v>Biometaani Kodumaine tarbimine transpordis mln Nm3</c:v>
                </c:pt>
              </c:strCache>
            </c:strRef>
          </c:tx>
          <c:invertIfNegative val="0"/>
          <c:cat>
            <c:numRef>
              <c:f>Sheet2!$N$15:$V$15</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Sheet2!$N$16:$V$16</c:f>
              <c:numCache>
                <c:formatCode>#,##0</c:formatCode>
                <c:ptCount val="9"/>
                <c:pt idx="0">
                  <c:v>1</c:v>
                </c:pt>
                <c:pt idx="1">
                  <c:v>26.944444444444443</c:v>
                </c:pt>
                <c:pt idx="2">
                  <c:v>53.888888888888886</c:v>
                </c:pt>
                <c:pt idx="3">
                  <c:v>108.16666666666666</c:v>
                </c:pt>
                <c:pt idx="4">
                  <c:v>162.44444444444443</c:v>
                </c:pt>
                <c:pt idx="5">
                  <c:v>156.94444444444443</c:v>
                </c:pt>
                <c:pt idx="6">
                  <c:v>151.41666666666666</c:v>
                </c:pt>
                <c:pt idx="7">
                  <c:v>148.66666666666669</c:v>
                </c:pt>
                <c:pt idx="8">
                  <c:v>140.41666666666666</c:v>
                </c:pt>
              </c:numCache>
            </c:numRef>
          </c:val>
        </c:ser>
        <c:ser>
          <c:idx val="1"/>
          <c:order val="1"/>
          <c:tx>
            <c:strRef>
              <c:f>Sheet2!$M$17</c:f>
              <c:strCache>
                <c:ptCount val="1"/>
                <c:pt idx="0">
                  <c:v>Biometaani Eksport mln Nm3</c:v>
                </c:pt>
              </c:strCache>
            </c:strRef>
          </c:tx>
          <c:invertIfNegative val="0"/>
          <c:cat>
            <c:numRef>
              <c:f>Sheet2!$N$15:$V$15</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Sheet2!$N$17:$V$17</c:f>
              <c:numCache>
                <c:formatCode>#,##0</c:formatCode>
                <c:ptCount val="9"/>
                <c:pt idx="0">
                  <c:v>0</c:v>
                </c:pt>
                <c:pt idx="1">
                  <c:v>3.0555555555555571</c:v>
                </c:pt>
                <c:pt idx="2">
                  <c:v>101.11111111111111</c:v>
                </c:pt>
                <c:pt idx="3">
                  <c:v>91.833333333333343</c:v>
                </c:pt>
                <c:pt idx="4">
                  <c:v>100.55555555555557</c:v>
                </c:pt>
                <c:pt idx="5">
                  <c:v>143.05555555555557</c:v>
                </c:pt>
                <c:pt idx="6">
                  <c:v>172.58333333333334</c:v>
                </c:pt>
                <c:pt idx="7">
                  <c:v>201.33333333333331</c:v>
                </c:pt>
                <c:pt idx="8">
                  <c:v>230.38333333333335</c:v>
                </c:pt>
              </c:numCache>
            </c:numRef>
          </c:val>
        </c:ser>
        <c:dLbls>
          <c:showLegendKey val="0"/>
          <c:showVal val="0"/>
          <c:showCatName val="0"/>
          <c:showSerName val="0"/>
          <c:showPercent val="0"/>
          <c:showBubbleSize val="0"/>
        </c:dLbls>
        <c:gapWidth val="150"/>
        <c:axId val="210891920"/>
        <c:axId val="210892312"/>
      </c:barChart>
      <c:catAx>
        <c:axId val="210891920"/>
        <c:scaling>
          <c:orientation val="minMax"/>
        </c:scaling>
        <c:delete val="0"/>
        <c:axPos val="b"/>
        <c:numFmt formatCode="General" sourceLinked="1"/>
        <c:majorTickMark val="out"/>
        <c:minorTickMark val="none"/>
        <c:tickLblPos val="nextTo"/>
        <c:crossAx val="210892312"/>
        <c:crosses val="autoZero"/>
        <c:auto val="1"/>
        <c:lblAlgn val="ctr"/>
        <c:lblOffset val="100"/>
        <c:noMultiLvlLbl val="0"/>
      </c:catAx>
      <c:valAx>
        <c:axId val="210892312"/>
        <c:scaling>
          <c:orientation val="minMax"/>
        </c:scaling>
        <c:delete val="0"/>
        <c:axPos val="l"/>
        <c:majorGridlines/>
        <c:numFmt formatCode="#,##0" sourceLinked="1"/>
        <c:majorTickMark val="out"/>
        <c:minorTickMark val="none"/>
        <c:tickLblPos val="nextTo"/>
        <c:crossAx val="210891920"/>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Sheet2!$N$40</c:f>
              <c:strCache>
                <c:ptCount val="1"/>
                <c:pt idx="0">
                  <c:v>Biometaani Eksport mln Nm3</c:v>
                </c:pt>
              </c:strCache>
            </c:strRef>
          </c:tx>
          <c:invertIfNegative val="0"/>
          <c:cat>
            <c:numRef>
              <c:f>Sheet2!$O$39:$W$39</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Sheet2!$O$40:$W$40</c:f>
              <c:numCache>
                <c:formatCode>#,##0</c:formatCode>
                <c:ptCount val="9"/>
                <c:pt idx="0">
                  <c:v>0</c:v>
                </c:pt>
                <c:pt idx="1">
                  <c:v>3.0555555555555571</c:v>
                </c:pt>
                <c:pt idx="2">
                  <c:v>101.11111111111111</c:v>
                </c:pt>
                <c:pt idx="3">
                  <c:v>91.833333333333343</c:v>
                </c:pt>
                <c:pt idx="4">
                  <c:v>100.55555555555557</c:v>
                </c:pt>
                <c:pt idx="5">
                  <c:v>143.05555555555557</c:v>
                </c:pt>
                <c:pt idx="6">
                  <c:v>172.58333333333334</c:v>
                </c:pt>
                <c:pt idx="7">
                  <c:v>201.33333333333331</c:v>
                </c:pt>
                <c:pt idx="8">
                  <c:v>230.38333333333335</c:v>
                </c:pt>
              </c:numCache>
            </c:numRef>
          </c:val>
        </c:ser>
        <c:ser>
          <c:idx val="1"/>
          <c:order val="1"/>
          <c:tx>
            <c:strRef>
              <c:f>Sheet2!$N$41</c:f>
              <c:strCache>
                <c:ptCount val="1"/>
                <c:pt idx="0">
                  <c:v>Biometaani Kodumaine tarbimine transpordis mln Nm3</c:v>
                </c:pt>
              </c:strCache>
            </c:strRef>
          </c:tx>
          <c:invertIfNegative val="0"/>
          <c:cat>
            <c:numRef>
              <c:f>Sheet2!$O$39:$W$39</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Sheet2!$O$41:$W$41</c:f>
              <c:numCache>
                <c:formatCode>#,##0</c:formatCode>
                <c:ptCount val="9"/>
                <c:pt idx="0">
                  <c:v>1</c:v>
                </c:pt>
                <c:pt idx="1">
                  <c:v>26.944444444444443</c:v>
                </c:pt>
                <c:pt idx="2">
                  <c:v>53.888888888888886</c:v>
                </c:pt>
                <c:pt idx="3">
                  <c:v>108.16666666666666</c:v>
                </c:pt>
                <c:pt idx="4">
                  <c:v>162.44444444444443</c:v>
                </c:pt>
                <c:pt idx="5">
                  <c:v>156.94444444444443</c:v>
                </c:pt>
                <c:pt idx="6">
                  <c:v>151.41666666666666</c:v>
                </c:pt>
                <c:pt idx="7">
                  <c:v>148.66666666666669</c:v>
                </c:pt>
                <c:pt idx="8">
                  <c:v>140.41666666666666</c:v>
                </c:pt>
              </c:numCache>
            </c:numRef>
          </c:val>
        </c:ser>
        <c:ser>
          <c:idx val="2"/>
          <c:order val="2"/>
          <c:tx>
            <c:strRef>
              <c:f>Sheet2!$N$42</c:f>
              <c:strCache>
                <c:ptCount val="1"/>
                <c:pt idx="0">
                  <c:v>Biometaani potentsiaal mln Nm3</c:v>
                </c:pt>
              </c:strCache>
            </c:strRef>
          </c:tx>
          <c:invertIfNegative val="0"/>
          <c:cat>
            <c:numRef>
              <c:f>Sheet2!$O$39:$W$39</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Sheet2!$O$42:$W$42</c:f>
              <c:numCache>
                <c:formatCode>General</c:formatCode>
                <c:ptCount val="9"/>
                <c:pt idx="0">
                  <c:v>1</c:v>
                </c:pt>
                <c:pt idx="1">
                  <c:v>30</c:v>
                </c:pt>
                <c:pt idx="2">
                  <c:v>155</c:v>
                </c:pt>
                <c:pt idx="3">
                  <c:v>200</c:v>
                </c:pt>
                <c:pt idx="4">
                  <c:v>263</c:v>
                </c:pt>
                <c:pt idx="5">
                  <c:v>300</c:v>
                </c:pt>
                <c:pt idx="6">
                  <c:v>324</c:v>
                </c:pt>
                <c:pt idx="7">
                  <c:v>350</c:v>
                </c:pt>
                <c:pt idx="8">
                  <c:v>370.8</c:v>
                </c:pt>
              </c:numCache>
            </c:numRef>
          </c:val>
        </c:ser>
        <c:dLbls>
          <c:showLegendKey val="0"/>
          <c:showVal val="0"/>
          <c:showCatName val="0"/>
          <c:showSerName val="0"/>
          <c:showPercent val="0"/>
          <c:showBubbleSize val="0"/>
        </c:dLbls>
        <c:gapWidth val="150"/>
        <c:axId val="210893096"/>
        <c:axId val="210893488"/>
      </c:barChart>
      <c:catAx>
        <c:axId val="210893096"/>
        <c:scaling>
          <c:orientation val="minMax"/>
        </c:scaling>
        <c:delete val="0"/>
        <c:axPos val="b"/>
        <c:numFmt formatCode="General" sourceLinked="1"/>
        <c:majorTickMark val="out"/>
        <c:minorTickMark val="none"/>
        <c:tickLblPos val="nextTo"/>
        <c:crossAx val="210893488"/>
        <c:crosses val="autoZero"/>
        <c:auto val="1"/>
        <c:lblAlgn val="ctr"/>
        <c:lblOffset val="100"/>
        <c:noMultiLvlLbl val="0"/>
      </c:catAx>
      <c:valAx>
        <c:axId val="210893488"/>
        <c:scaling>
          <c:orientation val="minMax"/>
        </c:scaling>
        <c:delete val="0"/>
        <c:axPos val="l"/>
        <c:majorGridlines/>
        <c:numFmt formatCode="#,##0" sourceLinked="1"/>
        <c:majorTickMark val="out"/>
        <c:minorTickMark val="none"/>
        <c:tickLblPos val="nextTo"/>
        <c:crossAx val="21089309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Sheet2!$N$40</c:f>
              <c:strCache>
                <c:ptCount val="1"/>
                <c:pt idx="0">
                  <c:v>Biometaani Eksport mln Nm3</c:v>
                </c:pt>
              </c:strCache>
            </c:strRef>
          </c:tx>
          <c:invertIfNegative val="0"/>
          <c:cat>
            <c:numRef>
              <c:f>Sheet2!$O$39:$W$39</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Sheet2!$O$40:$W$40</c:f>
              <c:numCache>
                <c:formatCode>#,##0</c:formatCode>
                <c:ptCount val="9"/>
                <c:pt idx="0">
                  <c:v>0</c:v>
                </c:pt>
                <c:pt idx="1">
                  <c:v>3.0555555555555571</c:v>
                </c:pt>
                <c:pt idx="2">
                  <c:v>101.11111111111111</c:v>
                </c:pt>
                <c:pt idx="3">
                  <c:v>91.833333333333343</c:v>
                </c:pt>
                <c:pt idx="4">
                  <c:v>100.55555555555557</c:v>
                </c:pt>
                <c:pt idx="5">
                  <c:v>143.05555555555557</c:v>
                </c:pt>
                <c:pt idx="6">
                  <c:v>172.58333333333334</c:v>
                </c:pt>
                <c:pt idx="7">
                  <c:v>201.33333333333331</c:v>
                </c:pt>
                <c:pt idx="8">
                  <c:v>230.38333333333335</c:v>
                </c:pt>
              </c:numCache>
            </c:numRef>
          </c:val>
        </c:ser>
        <c:ser>
          <c:idx val="1"/>
          <c:order val="1"/>
          <c:tx>
            <c:strRef>
              <c:f>Sheet2!$N$41</c:f>
              <c:strCache>
                <c:ptCount val="1"/>
                <c:pt idx="0">
                  <c:v>Biometaani Kodumaine tarbimine transpordis mln Nm3</c:v>
                </c:pt>
              </c:strCache>
            </c:strRef>
          </c:tx>
          <c:invertIfNegative val="0"/>
          <c:cat>
            <c:numRef>
              <c:f>Sheet2!$O$39:$W$39</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Sheet2!$O$41:$W$41</c:f>
              <c:numCache>
                <c:formatCode>#,##0</c:formatCode>
                <c:ptCount val="9"/>
                <c:pt idx="0">
                  <c:v>1</c:v>
                </c:pt>
                <c:pt idx="1">
                  <c:v>26.944444444444443</c:v>
                </c:pt>
                <c:pt idx="2">
                  <c:v>53.888888888888886</c:v>
                </c:pt>
                <c:pt idx="3">
                  <c:v>108.16666666666666</c:v>
                </c:pt>
                <c:pt idx="4">
                  <c:v>162.44444444444443</c:v>
                </c:pt>
                <c:pt idx="5">
                  <c:v>156.94444444444443</c:v>
                </c:pt>
                <c:pt idx="6">
                  <c:v>151.41666666666666</c:v>
                </c:pt>
                <c:pt idx="7">
                  <c:v>148.66666666666669</c:v>
                </c:pt>
                <c:pt idx="8">
                  <c:v>140.41666666666666</c:v>
                </c:pt>
              </c:numCache>
            </c:numRef>
          </c:val>
        </c:ser>
        <c:ser>
          <c:idx val="2"/>
          <c:order val="2"/>
          <c:tx>
            <c:strRef>
              <c:f>Sheet2!$N$42</c:f>
              <c:strCache>
                <c:ptCount val="1"/>
                <c:pt idx="0">
                  <c:v>Biometaani potentsiaal mln Nm3</c:v>
                </c:pt>
              </c:strCache>
            </c:strRef>
          </c:tx>
          <c:invertIfNegative val="0"/>
          <c:cat>
            <c:numRef>
              <c:f>Sheet2!$O$39:$W$39</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Sheet2!$O$42:$W$42</c:f>
              <c:numCache>
                <c:formatCode>General</c:formatCode>
                <c:ptCount val="9"/>
                <c:pt idx="0">
                  <c:v>1</c:v>
                </c:pt>
                <c:pt idx="1">
                  <c:v>30</c:v>
                </c:pt>
                <c:pt idx="2">
                  <c:v>155</c:v>
                </c:pt>
                <c:pt idx="3">
                  <c:v>200</c:v>
                </c:pt>
                <c:pt idx="4">
                  <c:v>263</c:v>
                </c:pt>
                <c:pt idx="5">
                  <c:v>300</c:v>
                </c:pt>
                <c:pt idx="6">
                  <c:v>324</c:v>
                </c:pt>
                <c:pt idx="7">
                  <c:v>350</c:v>
                </c:pt>
                <c:pt idx="8">
                  <c:v>370.8</c:v>
                </c:pt>
              </c:numCache>
            </c:numRef>
          </c:val>
        </c:ser>
        <c:dLbls>
          <c:showLegendKey val="0"/>
          <c:showVal val="0"/>
          <c:showCatName val="0"/>
          <c:showSerName val="0"/>
          <c:showPercent val="0"/>
          <c:showBubbleSize val="0"/>
        </c:dLbls>
        <c:gapWidth val="150"/>
        <c:axId val="225476608"/>
        <c:axId val="225477000"/>
      </c:barChart>
      <c:catAx>
        <c:axId val="225476608"/>
        <c:scaling>
          <c:orientation val="minMax"/>
        </c:scaling>
        <c:delete val="0"/>
        <c:axPos val="b"/>
        <c:numFmt formatCode="General" sourceLinked="1"/>
        <c:majorTickMark val="out"/>
        <c:minorTickMark val="none"/>
        <c:tickLblPos val="nextTo"/>
        <c:crossAx val="225477000"/>
        <c:crosses val="autoZero"/>
        <c:auto val="1"/>
        <c:lblAlgn val="ctr"/>
        <c:lblOffset val="100"/>
        <c:noMultiLvlLbl val="0"/>
      </c:catAx>
      <c:valAx>
        <c:axId val="225477000"/>
        <c:scaling>
          <c:orientation val="minMax"/>
        </c:scaling>
        <c:delete val="0"/>
        <c:axPos val="l"/>
        <c:majorGridlines/>
        <c:numFmt formatCode="#,##0" sourceLinked="1"/>
        <c:majorTickMark val="out"/>
        <c:minorTickMark val="none"/>
        <c:tickLblPos val="nextTo"/>
        <c:crossAx val="225476608"/>
        <c:crosses val="autoZero"/>
        <c:crossBetween val="between"/>
      </c:valAx>
    </c:plotArea>
    <c:legend>
      <c:legendPos val="r"/>
      <c:overlay val="0"/>
      <c:txPr>
        <a:bodyPr/>
        <a:lstStyle/>
        <a:p>
          <a:pPr>
            <a:defRPr sz="1400"/>
          </a:pPr>
          <a:endParaRPr lang="et-EE"/>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oneCellAnchor>
    <xdr:from>
      <xdr:col>11</xdr:col>
      <xdr:colOff>1226185</xdr:colOff>
      <xdr:row>102</xdr:row>
      <xdr:rowOff>284480</xdr:rowOff>
    </xdr:from>
    <xdr:ext cx="4733925" cy="3305175"/>
    <xdr:pic>
      <xdr:nvPicPr>
        <xdr:cNvPr id="2" name="image02.png"/>
        <xdr:cNvPicPr preferRelativeResize="0"/>
      </xdr:nvPicPr>
      <xdr:blipFill>
        <a:blip xmlns:r="http://schemas.openxmlformats.org/officeDocument/2006/relationships" r:embed="rId1" cstate="print"/>
        <a:stretch>
          <a:fillRect/>
        </a:stretch>
      </xdr:blipFill>
      <xdr:spPr>
        <a:xfrm>
          <a:off x="13275945" y="15961360"/>
          <a:ext cx="4733925" cy="3305175"/>
        </a:xfrm>
        <a:prstGeom prst="rect">
          <a:avLst/>
        </a:prstGeom>
        <a:noFill/>
      </xdr:spPr>
    </xdr:pic>
    <xdr:clientData fLocksWithSheet="0"/>
  </xdr:oneCellAnchor>
  <xdr:oneCellAnchor>
    <xdr:from>
      <xdr:col>9</xdr:col>
      <xdr:colOff>136151</xdr:colOff>
      <xdr:row>177</xdr:row>
      <xdr:rowOff>128307</xdr:rowOff>
    </xdr:from>
    <xdr:ext cx="4638675" cy="4219575"/>
    <xdr:pic>
      <xdr:nvPicPr>
        <xdr:cNvPr id="3" name="image00.jpg"/>
        <xdr:cNvPicPr preferRelativeResize="0"/>
      </xdr:nvPicPr>
      <xdr:blipFill>
        <a:blip xmlns:r="http://schemas.openxmlformats.org/officeDocument/2006/relationships" r:embed="rId2" cstate="print"/>
        <a:stretch>
          <a:fillRect/>
        </a:stretch>
      </xdr:blipFill>
      <xdr:spPr>
        <a:xfrm>
          <a:off x="10893798" y="27268954"/>
          <a:ext cx="4638675" cy="4219575"/>
        </a:xfrm>
        <a:prstGeom prst="rect">
          <a:avLst/>
        </a:prstGeom>
        <a:noFill/>
      </xdr:spPr>
    </xdr:pic>
    <xdr:clientData fLocksWithSheet="0"/>
  </xdr:oneCellAnchor>
  <xdr:oneCellAnchor>
    <xdr:from>
      <xdr:col>3</xdr:col>
      <xdr:colOff>76200</xdr:colOff>
      <xdr:row>133</xdr:row>
      <xdr:rowOff>581025</xdr:rowOff>
    </xdr:from>
    <xdr:ext cx="5791200" cy="2266950"/>
    <xdr:pic>
      <xdr:nvPicPr>
        <xdr:cNvPr id="4" name="image01.png"/>
        <xdr:cNvPicPr preferRelativeResize="0"/>
      </xdr:nvPicPr>
      <xdr:blipFill>
        <a:blip xmlns:r="http://schemas.openxmlformats.org/officeDocument/2006/relationships" r:embed="rId3" cstate="print"/>
        <a:stretch>
          <a:fillRect/>
        </a:stretch>
      </xdr:blipFill>
      <xdr:spPr>
        <a:xfrm>
          <a:off x="0" y="0"/>
          <a:ext cx="5791200" cy="22669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95250</xdr:colOff>
      <xdr:row>7</xdr:row>
      <xdr:rowOff>371475</xdr:rowOff>
    </xdr:from>
    <xdr:ext cx="4524375" cy="27527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1257300</xdr:colOff>
      <xdr:row>16</xdr:row>
      <xdr:rowOff>95250</xdr:rowOff>
    </xdr:from>
    <xdr:to>
      <xdr:col>8</xdr:col>
      <xdr:colOff>596900</xdr:colOff>
      <xdr:row>34</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152401</xdr:colOff>
      <xdr:row>12</xdr:row>
      <xdr:rowOff>135467</xdr:rowOff>
    </xdr:from>
    <xdr:to>
      <xdr:col>23</xdr:col>
      <xdr:colOff>1168401</xdr:colOff>
      <xdr:row>30</xdr:row>
      <xdr:rowOff>135467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203200</xdr:colOff>
      <xdr:row>1</xdr:row>
      <xdr:rowOff>135467</xdr:rowOff>
    </xdr:from>
    <xdr:to>
      <xdr:col>20</xdr:col>
      <xdr:colOff>584200</xdr:colOff>
      <xdr:row>22</xdr:row>
      <xdr:rowOff>42334</xdr:rowOff>
    </xdr:to>
    <xdr:graphicFrame macro="">
      <xdr:nvGraphicFramePr>
        <xdr:cNvPr id="3" name="Chart 2" descr="Kütuste tarbimine" title="Kütuste tarbimise jagunemine transpordis 2010-2050 (kto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203200</xdr:colOff>
      <xdr:row>33</xdr:row>
      <xdr:rowOff>8467</xdr:rowOff>
    </xdr:from>
    <xdr:to>
      <xdr:col>20</xdr:col>
      <xdr:colOff>584200</xdr:colOff>
      <xdr:row>51</xdr:row>
      <xdr:rowOff>8467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177800</xdr:colOff>
      <xdr:row>46</xdr:row>
      <xdr:rowOff>317500</xdr:rowOff>
    </xdr:to>
    <xdr:sp macro="" textlink="">
      <xdr:nvSpPr>
        <xdr:cNvPr id="1038" name="Rectangle 1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15</xdr:col>
      <xdr:colOff>28575</xdr:colOff>
      <xdr:row>43</xdr:row>
      <xdr:rowOff>352425</xdr:rowOff>
    </xdr:to>
    <xdr:sp macro="" textlink="">
      <xdr:nvSpPr>
        <xdr:cNvPr id="2" name="AutoShape 14"/>
        <xdr:cNvSpPr>
          <a:spLocks noChangeArrowheads="1"/>
        </xdr:cNvSpPr>
      </xdr:nvSpPr>
      <xdr:spPr bwMode="auto">
        <a:xfrm>
          <a:off x="0" y="0"/>
          <a:ext cx="12696825" cy="12696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28575</xdr:colOff>
      <xdr:row>43</xdr:row>
      <xdr:rowOff>352425</xdr:rowOff>
    </xdr:to>
    <xdr:sp macro="" textlink="">
      <xdr:nvSpPr>
        <xdr:cNvPr id="3" name="AutoShape 14"/>
        <xdr:cNvSpPr>
          <a:spLocks noChangeArrowheads="1"/>
        </xdr:cNvSpPr>
      </xdr:nvSpPr>
      <xdr:spPr bwMode="auto">
        <a:xfrm>
          <a:off x="0" y="0"/>
          <a:ext cx="12696825" cy="6381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28575</xdr:colOff>
      <xdr:row>43</xdr:row>
      <xdr:rowOff>352425</xdr:rowOff>
    </xdr:to>
    <xdr:sp macro="" textlink="">
      <xdr:nvSpPr>
        <xdr:cNvPr id="4" name="AutoShape 14"/>
        <xdr:cNvSpPr>
          <a:spLocks noChangeArrowheads="1"/>
        </xdr:cNvSpPr>
      </xdr:nvSpPr>
      <xdr:spPr bwMode="auto">
        <a:xfrm>
          <a:off x="0" y="0"/>
          <a:ext cx="12696825" cy="6381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28575</xdr:colOff>
      <xdr:row>43</xdr:row>
      <xdr:rowOff>352425</xdr:rowOff>
    </xdr:to>
    <xdr:sp macro="" textlink="">
      <xdr:nvSpPr>
        <xdr:cNvPr id="5" name="AutoShape 14"/>
        <xdr:cNvSpPr>
          <a:spLocks noChangeArrowheads="1"/>
        </xdr:cNvSpPr>
      </xdr:nvSpPr>
      <xdr:spPr bwMode="auto">
        <a:xfrm>
          <a:off x="0" y="0"/>
          <a:ext cx="12696825" cy="6381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28575</xdr:colOff>
      <xdr:row>43</xdr:row>
      <xdr:rowOff>352425</xdr:rowOff>
    </xdr:to>
    <xdr:sp macro="" textlink="">
      <xdr:nvSpPr>
        <xdr:cNvPr id="6" name="AutoShape 14"/>
        <xdr:cNvSpPr>
          <a:spLocks noChangeArrowheads="1"/>
        </xdr:cNvSpPr>
      </xdr:nvSpPr>
      <xdr:spPr bwMode="auto">
        <a:xfrm>
          <a:off x="0" y="0"/>
          <a:ext cx="12696825" cy="63817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28575</xdr:colOff>
      <xdr:row>43</xdr:row>
      <xdr:rowOff>352425</xdr:rowOff>
    </xdr:to>
    <xdr:sp macro="" textlink="">
      <xdr:nvSpPr>
        <xdr:cNvPr id="7" name="AutoShape 14"/>
        <xdr:cNvSpPr>
          <a:spLocks noChangeArrowheads="1"/>
        </xdr:cNvSpPr>
      </xdr:nvSpPr>
      <xdr:spPr bwMode="auto">
        <a:xfrm>
          <a:off x="0" y="0"/>
          <a:ext cx="12696825" cy="63817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28575</xdr:colOff>
      <xdr:row>43</xdr:row>
      <xdr:rowOff>352425</xdr:rowOff>
    </xdr:to>
    <xdr:sp macro="" textlink="">
      <xdr:nvSpPr>
        <xdr:cNvPr id="8" name="AutoShape 14"/>
        <xdr:cNvSpPr>
          <a:spLocks noChangeArrowheads="1"/>
        </xdr:cNvSpPr>
      </xdr:nvSpPr>
      <xdr:spPr bwMode="auto">
        <a:xfrm>
          <a:off x="0" y="0"/>
          <a:ext cx="12696825" cy="6381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28575</xdr:colOff>
      <xdr:row>43</xdr:row>
      <xdr:rowOff>352425</xdr:rowOff>
    </xdr:to>
    <xdr:sp macro="" textlink="">
      <xdr:nvSpPr>
        <xdr:cNvPr id="9" name="AutoShape 14"/>
        <xdr:cNvSpPr>
          <a:spLocks noChangeArrowheads="1"/>
        </xdr:cNvSpPr>
      </xdr:nvSpPr>
      <xdr:spPr bwMode="auto">
        <a:xfrm>
          <a:off x="0" y="0"/>
          <a:ext cx="12696825" cy="6381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28575</xdr:colOff>
      <xdr:row>43</xdr:row>
      <xdr:rowOff>352425</xdr:rowOff>
    </xdr:to>
    <xdr:sp macro="" textlink="">
      <xdr:nvSpPr>
        <xdr:cNvPr id="10" name="AutoShape 14"/>
        <xdr:cNvSpPr>
          <a:spLocks noChangeArrowheads="1"/>
        </xdr:cNvSpPr>
      </xdr:nvSpPr>
      <xdr:spPr bwMode="auto">
        <a:xfrm>
          <a:off x="0" y="0"/>
          <a:ext cx="12696825" cy="63817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28575</xdr:colOff>
      <xdr:row>43</xdr:row>
      <xdr:rowOff>352425</xdr:rowOff>
    </xdr:to>
    <xdr:sp macro="" textlink="">
      <xdr:nvSpPr>
        <xdr:cNvPr id="11" name="AutoShape 14"/>
        <xdr:cNvSpPr>
          <a:spLocks noChangeArrowheads="1"/>
        </xdr:cNvSpPr>
      </xdr:nvSpPr>
      <xdr:spPr bwMode="auto">
        <a:xfrm>
          <a:off x="0" y="0"/>
          <a:ext cx="12696825" cy="6381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28575</xdr:colOff>
      <xdr:row>43</xdr:row>
      <xdr:rowOff>352425</xdr:rowOff>
    </xdr:to>
    <xdr:sp macro="" textlink="">
      <xdr:nvSpPr>
        <xdr:cNvPr id="12" name="AutoShape 14"/>
        <xdr:cNvSpPr>
          <a:spLocks noChangeArrowheads="1"/>
        </xdr:cNvSpPr>
      </xdr:nvSpPr>
      <xdr:spPr bwMode="auto">
        <a:xfrm>
          <a:off x="0" y="0"/>
          <a:ext cx="12696825" cy="63817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28575</xdr:colOff>
      <xdr:row>43</xdr:row>
      <xdr:rowOff>352425</xdr:rowOff>
    </xdr:to>
    <xdr:sp macro="" textlink="">
      <xdr:nvSpPr>
        <xdr:cNvPr id="13" name="AutoShape 14"/>
        <xdr:cNvSpPr>
          <a:spLocks noChangeArrowheads="1"/>
        </xdr:cNvSpPr>
      </xdr:nvSpPr>
      <xdr:spPr bwMode="auto">
        <a:xfrm>
          <a:off x="0" y="0"/>
          <a:ext cx="12696825" cy="638175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457200</xdr:colOff>
      <xdr:row>17</xdr:row>
      <xdr:rowOff>127000</xdr:rowOff>
    </xdr:from>
    <xdr:to>
      <xdr:col>29</xdr:col>
      <xdr:colOff>381000</xdr:colOff>
      <xdr:row>36</xdr:row>
      <xdr:rowOff>50800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292100</xdr:colOff>
      <xdr:row>20</xdr:row>
      <xdr:rowOff>203200</xdr:rowOff>
    </xdr:from>
    <xdr:to>
      <xdr:col>22</xdr:col>
      <xdr:colOff>254000</xdr:colOff>
      <xdr:row>32</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431800</xdr:colOff>
      <xdr:row>41</xdr:row>
      <xdr:rowOff>444500</xdr:rowOff>
    </xdr:from>
    <xdr:to>
      <xdr:col>22</xdr:col>
      <xdr:colOff>50800</xdr:colOff>
      <xdr:row>59</xdr:row>
      <xdr:rowOff>139700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203200</xdr:colOff>
      <xdr:row>39</xdr:row>
      <xdr:rowOff>152400</xdr:rowOff>
    </xdr:from>
    <xdr:to>
      <xdr:col>30</xdr:col>
      <xdr:colOff>800100</xdr:colOff>
      <xdr:row>58</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177800</xdr:colOff>
      <xdr:row>7</xdr:row>
      <xdr:rowOff>228600</xdr:rowOff>
    </xdr:from>
    <xdr:to>
      <xdr:col>16</xdr:col>
      <xdr:colOff>317500</xdr:colOff>
      <xdr:row>13</xdr:row>
      <xdr:rowOff>685800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1</xdr:row>
      <xdr:rowOff>292100</xdr:rowOff>
    </xdr:from>
    <xdr:to>
      <xdr:col>23</xdr:col>
      <xdr:colOff>342900</xdr:colOff>
      <xdr:row>13</xdr:row>
      <xdr:rowOff>1219200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736600</xdr:colOff>
      <xdr:row>10</xdr:row>
      <xdr:rowOff>101600</xdr:rowOff>
    </xdr:from>
    <xdr:to>
      <xdr:col>10</xdr:col>
      <xdr:colOff>355600</xdr:colOff>
      <xdr:row>16</xdr:row>
      <xdr:rowOff>101600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736600</xdr:colOff>
      <xdr:row>7</xdr:row>
      <xdr:rowOff>254000</xdr:rowOff>
    </xdr:from>
    <xdr:to>
      <xdr:col>10</xdr:col>
      <xdr:colOff>355600</xdr:colOff>
      <xdr:row>15</xdr:row>
      <xdr:rowOff>254000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704850</xdr:colOff>
      <xdr:row>13</xdr:row>
      <xdr:rowOff>1244600</xdr:rowOff>
    </xdr:from>
    <xdr:to>
      <xdr:col>33</xdr:col>
      <xdr:colOff>323850</xdr:colOff>
      <xdr:row>19</xdr:row>
      <xdr:rowOff>12700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400050</xdr:colOff>
      <xdr:row>86</xdr:row>
      <xdr:rowOff>241300</xdr:rowOff>
    </xdr:from>
    <xdr:to>
      <xdr:col>1</xdr:col>
      <xdr:colOff>317500</xdr:colOff>
      <xdr:row>96</xdr:row>
      <xdr:rowOff>241300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514350</xdr:colOff>
      <xdr:row>91</xdr:row>
      <xdr:rowOff>0</xdr:rowOff>
    </xdr:from>
    <xdr:to>
      <xdr:col>9</xdr:col>
      <xdr:colOff>133350</xdr:colOff>
      <xdr:row>104</xdr:row>
      <xdr:rowOff>101600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730250</xdr:colOff>
      <xdr:row>103</xdr:row>
      <xdr:rowOff>88900</xdr:rowOff>
    </xdr:from>
    <xdr:to>
      <xdr:col>11</xdr:col>
      <xdr:colOff>349250</xdr:colOff>
      <xdr:row>119</xdr:row>
      <xdr:rowOff>25400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400050</xdr:colOff>
      <xdr:row>87</xdr:row>
      <xdr:rowOff>317500</xdr:rowOff>
    </xdr:from>
    <xdr:to>
      <xdr:col>23</xdr:col>
      <xdr:colOff>19050</xdr:colOff>
      <xdr:row>101</xdr:row>
      <xdr:rowOff>12700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336550</xdr:colOff>
      <xdr:row>95</xdr:row>
      <xdr:rowOff>76200</xdr:rowOff>
    </xdr:from>
    <xdr:to>
      <xdr:col>17</xdr:col>
      <xdr:colOff>742950</xdr:colOff>
      <xdr:row>106</xdr:row>
      <xdr:rowOff>38100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152401</xdr:colOff>
      <xdr:row>13</xdr:row>
      <xdr:rowOff>135467</xdr:rowOff>
    </xdr:from>
    <xdr:to>
      <xdr:col>23</xdr:col>
      <xdr:colOff>1168401</xdr:colOff>
      <xdr:row>32</xdr:row>
      <xdr:rowOff>135467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203200</xdr:colOff>
      <xdr:row>1</xdr:row>
      <xdr:rowOff>135467</xdr:rowOff>
    </xdr:from>
    <xdr:to>
      <xdr:col>20</xdr:col>
      <xdr:colOff>584200</xdr:colOff>
      <xdr:row>24</xdr:row>
      <xdr:rowOff>42334</xdr:rowOff>
    </xdr:to>
    <xdr:graphicFrame macro="">
      <xdr:nvGraphicFramePr>
        <xdr:cNvPr id="3" name="Chart 2" descr="Kütuste tarbimine" title="Kütuste tarbimise jagunemine transpordis 2010-2050 (kto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203200</xdr:colOff>
      <xdr:row>35</xdr:row>
      <xdr:rowOff>8467</xdr:rowOff>
    </xdr:from>
    <xdr:to>
      <xdr:col>20</xdr:col>
      <xdr:colOff>584200</xdr:colOff>
      <xdr:row>54</xdr:row>
      <xdr:rowOff>8467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to2/monusminek/biogas/mangen/siimani%20taotlus%20veebruar%202014/UusSTREAM%20FlowModel%20RefScen2050_1002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SEIT/AppData/Local/Microsoft/Windows/Temporary%20Internet%20Files/Content.Outlook/OGSFK8MQ/STREAM%20FlowModel%20RefScen2030%20-%20Elering%20v2%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hto2/monusminek/biogas/mangen/siimani%20taotlus%20veebruar%202014/Uus_Stream2020_1002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i.SEIT/AppData/Local/Microsoft/Windows/Temporary%20Internet%20Files/Content.Outlook/OGSFK8MQ/STREAM%20FlowModel%20RefScen2020%20-%20Elering%20v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Year Input"/>
      <sheetName val="STREAM Light"/>
      <sheetName val="Index"/>
      <sheetName val="Graph summary"/>
      <sheetName val="Basic Information"/>
      <sheetName val="Fuel data"/>
      <sheetName val="El-Tech"/>
      <sheetName val="DH-Tech"/>
      <sheetName val="Fuel Refinery-Tech"/>
      <sheetName val="Res-Tech"/>
      <sheetName val="Ter-Tech"/>
      <sheetName val="Ind-Tech"/>
      <sheetName val="Residential"/>
      <sheetName val="Tertiary"/>
      <sheetName val="Industry"/>
      <sheetName val="TransportB_EE"/>
      <sheetName val="Transport50VS"/>
      <sheetName val="Transport50vana"/>
      <sheetName val="Transport50VSvana"/>
      <sheetName val="Power and Heat"/>
      <sheetName val="Fuel shares"/>
      <sheetName val="Energy branch"/>
      <sheetName val="Electricity Demand"/>
      <sheetName val="DH Demand"/>
      <sheetName val="Energy Balance Pivot "/>
      <sheetName val="Ener. Balance Pivot Source"/>
      <sheetName val="Energy balance"/>
      <sheetName val="Data for graphs"/>
      <sheetName val="Econ Balance Sample Pivot"/>
      <sheetName val="Economic balance"/>
      <sheetName val="Eco. Balance Pivot Source"/>
      <sheetName val="Environmental balance"/>
      <sheetName val="Env. Balance Pivot Source"/>
      <sheetName val="El-Calc"/>
      <sheetName val="DH-Calc"/>
      <sheetName val="Fuel Refinery-Calc"/>
      <sheetName val="Ind-Calc"/>
      <sheetName val="Res-Calc"/>
      <sheetName val="Ark2"/>
      <sheetName val="Ter-Calc"/>
      <sheetName val="Pcar"/>
      <sheetName val="Bus"/>
      <sheetName val="Van+Lorry"/>
      <sheetName val="Van eco"/>
      <sheetName val="Lorry eco"/>
      <sheetName val="Put Stream Light data"/>
      <sheetName val="Import-Export"/>
      <sheetName val="Imp from Dur.Curve"/>
      <sheetName val="Exp to Dur.Curve"/>
      <sheetName val="Definitions"/>
      <sheetName val="AGEE graphs"/>
      <sheetName val="Sources"/>
    </sheetNames>
    <sheetDataSet>
      <sheetData sheetId="0"/>
      <sheetData sheetId="1"/>
      <sheetData sheetId="2"/>
      <sheetData sheetId="3"/>
      <sheetData sheetId="4">
        <row r="7">
          <cell r="B7" t="str">
            <v>Base</v>
          </cell>
        </row>
        <row r="9">
          <cell r="B9" t="str">
            <v>EE50</v>
          </cell>
        </row>
      </sheetData>
      <sheetData sheetId="5"/>
      <sheetData sheetId="6"/>
      <sheetData sheetId="7"/>
      <sheetData sheetId="8"/>
      <sheetData sheetId="9"/>
      <sheetData sheetId="10"/>
      <sheetData sheetId="11"/>
      <sheetData sheetId="12"/>
      <sheetData sheetId="13"/>
      <sheetData sheetId="14"/>
      <sheetData sheetId="15">
        <row r="56">
          <cell r="C56">
            <v>18649.799601428127</v>
          </cell>
        </row>
      </sheetData>
      <sheetData sheetId="16">
        <row r="56">
          <cell r="Q56">
            <v>16082.217411235923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Year Input"/>
      <sheetName val="STREAM Light"/>
      <sheetName val="Index"/>
      <sheetName val="Graph summary"/>
      <sheetName val="Basic Information"/>
      <sheetName val="Fuel data"/>
      <sheetName val="El-Tech"/>
      <sheetName val="DH-Tech"/>
      <sheetName val="Fuel Refinery-Tech"/>
      <sheetName val="Res-Tech"/>
      <sheetName val="Ter-Tech"/>
      <sheetName val="Ind-Tech"/>
      <sheetName val="Residential"/>
      <sheetName val="Tertiary"/>
      <sheetName val="Industry"/>
      <sheetName val="Transport"/>
      <sheetName val="Power and Heat"/>
      <sheetName val="Fuel shares"/>
      <sheetName val="Energy branch"/>
      <sheetName val="Electricity Demand"/>
      <sheetName val="DH Demand"/>
      <sheetName val="Energy Balance Pivot "/>
      <sheetName val="Ener. Balance Pivot Source"/>
      <sheetName val="Energy balance"/>
      <sheetName val="Data for graphs"/>
      <sheetName val="Econ Balance Sample Pivot"/>
      <sheetName val="Economic balance"/>
      <sheetName val="Eco. Balance Pivot Source"/>
      <sheetName val="Environmental balance"/>
      <sheetName val="Env. Balance Pivot Source"/>
      <sheetName val="El-Calc"/>
      <sheetName val="DH-Calc"/>
      <sheetName val="Fuel Refinery-Calc"/>
      <sheetName val="Ind-Calc"/>
      <sheetName val="Res-Calc"/>
      <sheetName val="Ark2"/>
      <sheetName val="Ter-Calc"/>
      <sheetName val="Pcar"/>
      <sheetName val="Bus"/>
      <sheetName val="Van+Lorry"/>
      <sheetName val="Van eco"/>
      <sheetName val="Lorry eco"/>
      <sheetName val="Put Stream Light data"/>
      <sheetName val="Import-Export"/>
      <sheetName val="Imp from Dur.Curve"/>
      <sheetName val="Exp to Dur.Curve"/>
      <sheetName val="Definitions"/>
      <sheetName val="AGEE graphs"/>
      <sheetName val="Sources"/>
    </sheetNames>
    <sheetDataSet>
      <sheetData sheetId="0">
        <row r="18">
          <cell r="B18">
            <v>12527</v>
          </cell>
        </row>
      </sheetData>
      <sheetData sheetId="1"/>
      <sheetData sheetId="2"/>
      <sheetData sheetId="3"/>
      <sheetData sheetId="4">
        <row r="7">
          <cell r="B7" t="str">
            <v>Base</v>
          </cell>
          <cell r="C7">
            <v>2010</v>
          </cell>
        </row>
        <row r="8">
          <cell r="B8" t="str">
            <v>BAU30</v>
          </cell>
          <cell r="C8">
            <v>2030</v>
          </cell>
        </row>
        <row r="9">
          <cell r="B9" t="str">
            <v>EE30</v>
          </cell>
          <cell r="C9">
            <v>2030</v>
          </cell>
        </row>
        <row r="10">
          <cell r="B10" t="str">
            <v>REFERENCE_1</v>
          </cell>
          <cell r="C10">
            <v>2012</v>
          </cell>
        </row>
        <row r="11">
          <cell r="B11" t="str">
            <v>CO2_COLLAPSE_1</v>
          </cell>
          <cell r="C11">
            <v>2030</v>
          </cell>
        </row>
        <row r="12">
          <cell r="B12" t="str">
            <v>CO2_CONCERN_1</v>
          </cell>
          <cell r="C12">
            <v>2030</v>
          </cell>
        </row>
        <row r="32">
          <cell r="C32">
            <v>0.05</v>
          </cell>
        </row>
        <row r="33">
          <cell r="C33">
            <v>7.45</v>
          </cell>
        </row>
        <row r="57">
          <cell r="C57">
            <v>5</v>
          </cell>
          <cell r="D57">
            <v>35</v>
          </cell>
          <cell r="E57">
            <v>35</v>
          </cell>
        </row>
      </sheetData>
      <sheetData sheetId="5">
        <row r="11">
          <cell r="A11" t="str">
            <v>Electricity</v>
          </cell>
        </row>
        <row r="12">
          <cell r="A12" t="str">
            <v>District Heating</v>
          </cell>
        </row>
        <row r="13">
          <cell r="A13" t="str">
            <v>Natural Gas</v>
          </cell>
        </row>
        <row r="14">
          <cell r="A14" t="str">
            <v>Lignite</v>
          </cell>
        </row>
        <row r="15">
          <cell r="A15" t="str">
            <v>Cheap coal</v>
          </cell>
        </row>
        <row r="16">
          <cell r="A16" t="str">
            <v>Gasoline</v>
          </cell>
        </row>
        <row r="17">
          <cell r="A17" t="str">
            <v>Diesel</v>
          </cell>
        </row>
        <row r="18">
          <cell r="A18" t="str">
            <v>Crude Oil</v>
          </cell>
        </row>
        <row r="19">
          <cell r="A19" t="str">
            <v>Nuclear - Uranium</v>
          </cell>
        </row>
        <row r="20">
          <cell r="A20" t="str">
            <v>Biomass (wood pellet)</v>
          </cell>
        </row>
        <row r="21">
          <cell r="A21" t="str">
            <v>Biomass (wood chips)</v>
          </cell>
        </row>
        <row r="22">
          <cell r="A22" t="str">
            <v>Biogas</v>
          </cell>
        </row>
        <row r="23">
          <cell r="A23" t="str">
            <v>Municipal Waste</v>
          </cell>
        </row>
        <row r="24">
          <cell r="A24" t="str">
            <v>Wind</v>
          </cell>
        </row>
        <row r="25">
          <cell r="A25" t="str">
            <v>Hydropower</v>
          </cell>
        </row>
        <row r="26">
          <cell r="A26" t="str">
            <v>Solar Power</v>
          </cell>
        </row>
        <row r="27">
          <cell r="A27" t="str">
            <v>Geothermal</v>
          </cell>
        </row>
        <row r="28">
          <cell r="A28" t="str">
            <v>Wave</v>
          </cell>
        </row>
        <row r="29">
          <cell r="A29" t="str">
            <v>Solar Heating</v>
          </cell>
        </row>
        <row r="30">
          <cell r="A30" t="str">
            <v>Hydrogen</v>
          </cell>
        </row>
        <row r="31">
          <cell r="A31" t="str">
            <v>Imported electricity</v>
          </cell>
        </row>
        <row r="32">
          <cell r="A32" t="str">
            <v>Ethanol</v>
          </cell>
        </row>
        <row r="33">
          <cell r="A33" t="str">
            <v>Municipal Waste, RE</v>
          </cell>
        </row>
        <row r="34">
          <cell r="A34" t="str">
            <v>Municipal Waste, non-RE</v>
          </cell>
        </row>
        <row r="35">
          <cell r="A35" t="str">
            <v>Surplus Heat</v>
          </cell>
        </row>
        <row r="36">
          <cell r="A36" t="str">
            <v>Coal</v>
          </cell>
        </row>
        <row r="37">
          <cell r="A37" t="str">
            <v>Imported heat</v>
          </cell>
        </row>
        <row r="38">
          <cell r="A38" t="str">
            <v>Oil</v>
          </cell>
        </row>
        <row r="39">
          <cell r="A39" t="str">
            <v>Methanol</v>
          </cell>
        </row>
        <row r="40">
          <cell r="A40" t="str">
            <v>Biogas CNG</v>
          </cell>
        </row>
        <row r="41">
          <cell r="A41" t="str">
            <v>Biodiesel</v>
          </cell>
        </row>
        <row r="42">
          <cell r="A42" t="str">
            <v>Natural Gas CNG</v>
          </cell>
        </row>
        <row r="43">
          <cell r="A43" t="str">
            <v>Nuclear</v>
          </cell>
        </row>
        <row r="44">
          <cell r="A44" t="str">
            <v>Thorium</v>
          </cell>
        </row>
        <row r="45">
          <cell r="A45" t="str">
            <v>Firewood</v>
          </cell>
        </row>
        <row r="46">
          <cell r="A46" t="str">
            <v>Oil shale</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sheetData>
      <sheetData sheetId="6">
        <row r="12">
          <cell r="A12" t="str">
            <v>Coal Plant (incl. Peat)</v>
          </cell>
        </row>
        <row r="13">
          <cell r="A13" t="str">
            <v>CCGT</v>
          </cell>
        </row>
        <row r="14">
          <cell r="A14" t="str">
            <v>Gasturbine</v>
          </cell>
        </row>
        <row r="15">
          <cell r="A15" t="str">
            <v>Wind, offshore</v>
          </cell>
        </row>
        <row r="16">
          <cell r="A16" t="str">
            <v>Wind, onshore</v>
          </cell>
        </row>
        <row r="17">
          <cell r="A17" t="str">
            <v>Biomass</v>
          </cell>
        </row>
        <row r="18">
          <cell r="A18" t="str">
            <v>Biogas</v>
          </cell>
        </row>
        <row r="19">
          <cell r="A19" t="str">
            <v>Waste incineration</v>
          </cell>
        </row>
        <row r="20">
          <cell r="A20" t="str">
            <v>Photo voltaic</v>
          </cell>
        </row>
        <row r="21">
          <cell r="A21" t="str">
            <v>Nuclear</v>
          </cell>
        </row>
        <row r="22">
          <cell r="A22" t="str">
            <v>Geothermal</v>
          </cell>
        </row>
        <row r="23">
          <cell r="A23" t="str">
            <v>Wave power</v>
          </cell>
        </row>
        <row r="24">
          <cell r="A24" t="str">
            <v>Natural gas incl. CO2-storage</v>
          </cell>
        </row>
        <row r="25">
          <cell r="A25" t="str">
            <v>Coal incl. CO2-storage</v>
          </cell>
        </row>
        <row r="26">
          <cell r="A26" t="str">
            <v>Biomass incl. CO2-storage</v>
          </cell>
        </row>
        <row r="27">
          <cell r="A27" t="str">
            <v>Hydro</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sheetData>
      <sheetData sheetId="7">
        <row r="12">
          <cell r="A12" t="str">
            <v>Coal boiler</v>
          </cell>
        </row>
        <row r="13">
          <cell r="A13" t="str">
            <v>Natural gas boiler</v>
          </cell>
        </row>
        <row r="14">
          <cell r="A14" t="str">
            <v>Geothermal</v>
          </cell>
        </row>
        <row r="15">
          <cell r="A15" t="str">
            <v>Heatpump</v>
          </cell>
        </row>
        <row r="16">
          <cell r="A16" t="str">
            <v>Wood pellet boiler</v>
          </cell>
        </row>
        <row r="17">
          <cell r="A17" t="str">
            <v>Oil boiler</v>
          </cell>
        </row>
        <row r="18">
          <cell r="A18" t="str">
            <v>Biogas</v>
          </cell>
        </row>
        <row r="19">
          <cell r="A19" t="str">
            <v>Municipal waste</v>
          </cell>
        </row>
        <row r="20">
          <cell r="A20" t="str">
            <v>Electric boiler</v>
          </cell>
        </row>
        <row r="21">
          <cell r="A21" t="str">
            <v>Solar heat</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sheetData>
      <sheetData sheetId="8"/>
      <sheetData sheetId="9">
        <row r="11">
          <cell r="A11" t="str">
            <v>Oil Boiler (house)</v>
          </cell>
        </row>
        <row r="12">
          <cell r="A12" t="str">
            <v>Gas Boiler (house)</v>
          </cell>
        </row>
        <row r="13">
          <cell r="A13" t="str">
            <v>Wood Pellet Boiler (house)</v>
          </cell>
        </row>
        <row r="14">
          <cell r="A14" t="str">
            <v>Heat pumps (air/air - house)</v>
          </cell>
        </row>
        <row r="15">
          <cell r="A15" t="str">
            <v>Solar heating (block)</v>
          </cell>
        </row>
        <row r="16">
          <cell r="A16" t="str">
            <v>District Heating (block)</v>
          </cell>
        </row>
        <row r="17">
          <cell r="A17" t="str">
            <v>Electric Heater (house)</v>
          </cell>
        </row>
        <row r="18">
          <cell r="A18" t="str">
            <v>Coal Boiler (house)</v>
          </cell>
        </row>
        <row r="19">
          <cell r="A19" t="str">
            <v>Wood Stove (house)</v>
          </cell>
        </row>
        <row r="20">
          <cell r="A20" t="str">
            <v>Wood Pellet Boiler (block)</v>
          </cell>
        </row>
        <row r="21">
          <cell r="A21" t="str">
            <v>District Heating (house)</v>
          </cell>
        </row>
        <row r="22">
          <cell r="A22" t="str">
            <v>Heat pumps (brine/ground - house)</v>
          </cell>
        </row>
        <row r="23">
          <cell r="A23" t="str">
            <v>Heat pumps (brine/ground - block)</v>
          </cell>
        </row>
        <row r="24">
          <cell r="A24" t="str">
            <v>Gas Boiler (block)</v>
          </cell>
        </row>
        <row r="25">
          <cell r="A25" t="str">
            <v>Heat pumps (air/water - house)</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sheetData>
      <sheetData sheetId="10">
        <row r="11">
          <cell r="A11" t="str">
            <v>Oil Boiler</v>
          </cell>
        </row>
        <row r="12">
          <cell r="A12" t="str">
            <v>Gas Boiler</v>
          </cell>
        </row>
        <row r="13">
          <cell r="A13" t="str">
            <v>Wood Pellet Boiler</v>
          </cell>
        </row>
        <row r="14">
          <cell r="A14" t="str">
            <v>Heat pumps (brine/ground)</v>
          </cell>
        </row>
        <row r="15">
          <cell r="A15" t="str">
            <v>Solar heating</v>
          </cell>
        </row>
        <row r="16">
          <cell r="A16" t="str">
            <v>District Heating</v>
          </cell>
        </row>
        <row r="17">
          <cell r="A17" t="str">
            <v>Electric Heater</v>
          </cell>
        </row>
        <row r="18">
          <cell r="A18" t="str">
            <v>Coal Boiler</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sheetData>
      <sheetData sheetId="11">
        <row r="11">
          <cell r="A11" t="str">
            <v>Oil Boiler</v>
          </cell>
        </row>
        <row r="12">
          <cell r="A12" t="str">
            <v>Gas Boiler</v>
          </cell>
        </row>
        <row r="13">
          <cell r="A13" t="str">
            <v>Wood Pellet Boiler</v>
          </cell>
        </row>
        <row r="14">
          <cell r="A14" t="str">
            <v>Heatpumps (brine/ground)</v>
          </cell>
        </row>
        <row r="15">
          <cell r="A15" t="str">
            <v>Oil Shale Boiler</v>
          </cell>
        </row>
        <row r="16">
          <cell r="A16" t="str">
            <v>District Heating</v>
          </cell>
        </row>
        <row r="17">
          <cell r="A17" t="str">
            <v>Electric Heater</v>
          </cell>
        </row>
        <row r="18">
          <cell r="A18" t="str">
            <v>Coal Boiler</v>
          </cell>
        </row>
        <row r="19">
          <cell r="A19" t="str">
            <v>Wood Chip Boiler</v>
          </cell>
        </row>
        <row r="20">
          <cell r="A20" t="str">
            <v xml:space="preserve">Agric. &amp; Fish. Machinery </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4">
          <cell r="E54">
            <v>0.68047125549209642</v>
          </cell>
        </row>
      </sheetData>
      <sheetData sheetId="38">
        <row r="53">
          <cell r="E53">
            <v>0.45585799507242919</v>
          </cell>
        </row>
      </sheetData>
      <sheetData sheetId="39">
        <row r="46">
          <cell r="E46">
            <v>0.77149281006163228</v>
          </cell>
        </row>
      </sheetData>
      <sheetData sheetId="40"/>
      <sheetData sheetId="41"/>
      <sheetData sheetId="42"/>
      <sheetData sheetId="43"/>
      <sheetData sheetId="44"/>
      <sheetData sheetId="45"/>
      <sheetData sheetId="46">
        <row r="11">
          <cell r="C11" t="str">
            <v>Bioenergy</v>
          </cell>
          <cell r="D11" t="str">
            <v>Fossil</v>
          </cell>
          <cell r="E11" t="str">
            <v>Primary</v>
          </cell>
          <cell r="G11" t="str">
            <v>Hydrogen</v>
          </cell>
          <cell r="J11" t="str">
            <v>Oil</v>
          </cell>
          <cell r="L11" t="str">
            <v>Dispatchable</v>
          </cell>
          <cell r="N11" t="str">
            <v>Backpressure</v>
          </cell>
          <cell r="P11" t="str">
            <v>Natural gas</v>
          </cell>
          <cell r="R11" t="str">
            <v>Stand-alone mode</v>
          </cell>
        </row>
        <row r="12">
          <cell r="C12" t="str">
            <v>Coal</v>
          </cell>
          <cell r="D12" t="str">
            <v>Renewable</v>
          </cell>
          <cell r="E12" t="str">
            <v>Secondary</v>
          </cell>
          <cell r="G12" t="str">
            <v>Ethanol</v>
          </cell>
          <cell r="J12" t="str">
            <v>Coal</v>
          </cell>
          <cell r="L12" t="str">
            <v>Undispatchable</v>
          </cell>
          <cell r="N12" t="str">
            <v>Extraction</v>
          </cell>
          <cell r="P12" t="str">
            <v>Biomass (Straw, woodwaste)</v>
          </cell>
          <cell r="R12" t="str">
            <v>Duration Curve Mode</v>
          </cell>
        </row>
        <row r="13">
          <cell r="C13" t="str">
            <v>District Heating</v>
          </cell>
          <cell r="D13" t="str">
            <v>Nuclear</v>
          </cell>
          <cell r="E13">
            <v>0</v>
          </cell>
          <cell r="G13" t="str">
            <v>Methanol</v>
          </cell>
          <cell r="J13" t="str">
            <v>Natural Gas</v>
          </cell>
          <cell r="L13">
            <v>0</v>
          </cell>
          <cell r="N13" t="str">
            <v>Condensing</v>
          </cell>
          <cell r="P13" t="str">
            <v>Biomass (Energy crops)</v>
          </cell>
        </row>
        <row r="14">
          <cell r="C14" t="str">
            <v>Electricity</v>
          </cell>
          <cell r="D14" t="str">
            <v>Energy Carrier</v>
          </cell>
          <cell r="E14">
            <v>0</v>
          </cell>
          <cell r="G14" t="str">
            <v>Biodiesel</v>
          </cell>
          <cell r="J14" t="str">
            <v>Biomass (Straw, woodwaste)</v>
          </cell>
          <cell r="L14">
            <v>0</v>
          </cell>
          <cell r="N14" t="str">
            <v>Fuel free</v>
          </cell>
          <cell r="P14" t="str">
            <v>Waste</v>
          </cell>
        </row>
        <row r="15">
          <cell r="C15" t="str">
            <v>Geothermal</v>
          </cell>
          <cell r="D15">
            <v>0</v>
          </cell>
          <cell r="E15">
            <v>0</v>
          </cell>
          <cell r="G15" t="str">
            <v/>
          </cell>
          <cell r="J15" t="str">
            <v>Biomass (Energy crops)</v>
          </cell>
          <cell r="L15">
            <v>0</v>
          </cell>
          <cell r="N15">
            <v>0</v>
          </cell>
          <cell r="P15" t="str">
            <v>Geothermal</v>
          </cell>
        </row>
        <row r="16">
          <cell r="C16" t="str">
            <v>Hydro</v>
          </cell>
          <cell r="D16">
            <v>0</v>
          </cell>
          <cell r="E16">
            <v>0</v>
          </cell>
          <cell r="G16" t="str">
            <v/>
          </cell>
          <cell r="J16" t="str">
            <v>Biogas</v>
          </cell>
          <cell r="L16">
            <v>0</v>
          </cell>
          <cell r="N16">
            <v>0</v>
          </cell>
          <cell r="P16" t="str">
            <v>Heat pump</v>
          </cell>
        </row>
        <row r="17">
          <cell r="C17" t="str">
            <v>Natural Gas</v>
          </cell>
          <cell r="D17">
            <v>0</v>
          </cell>
          <cell r="E17">
            <v>0</v>
          </cell>
          <cell r="G17" t="str">
            <v/>
          </cell>
          <cell r="J17" t="str">
            <v>Municipal Waste</v>
          </cell>
          <cell r="L17">
            <v>0</v>
          </cell>
          <cell r="N17">
            <v>0</v>
          </cell>
          <cell r="P17" t="str">
            <v>Electricity</v>
          </cell>
        </row>
        <row r="18">
          <cell r="C18" t="str">
            <v>Nuclear</v>
          </cell>
          <cell r="D18">
            <v>0</v>
          </cell>
          <cell r="E18">
            <v>0</v>
          </cell>
          <cell r="G18" t="str">
            <v/>
          </cell>
          <cell r="J18" t="str">
            <v>Wind, onshore</v>
          </cell>
          <cell r="L18">
            <v>0</v>
          </cell>
          <cell r="N18">
            <v>0</v>
          </cell>
          <cell r="P18" t="str">
            <v>Oil</v>
          </cell>
        </row>
        <row r="19">
          <cell r="C19" t="str">
            <v>Ocean</v>
          </cell>
          <cell r="D19">
            <v>0</v>
          </cell>
          <cell r="E19">
            <v>0</v>
          </cell>
          <cell r="G19" t="str">
            <v/>
          </cell>
          <cell r="J19" t="str">
            <v>Wind, offshore</v>
          </cell>
          <cell r="L19">
            <v>0</v>
          </cell>
          <cell r="N19">
            <v>0</v>
          </cell>
          <cell r="P19" t="str">
            <v>Coal</v>
          </cell>
        </row>
        <row r="20">
          <cell r="C20" t="str">
            <v>Oil</v>
          </cell>
          <cell r="D20">
            <v>0</v>
          </cell>
          <cell r="E20">
            <v>0</v>
          </cell>
          <cell r="G20" t="str">
            <v/>
          </cell>
          <cell r="J20" t="str">
            <v>Hydropower</v>
          </cell>
          <cell r="L20">
            <v>0</v>
          </cell>
          <cell r="N20">
            <v>0</v>
          </cell>
          <cell r="P20" t="str">
            <v>Solar heat</v>
          </cell>
        </row>
        <row r="21">
          <cell r="C21" t="str">
            <v>Solar</v>
          </cell>
          <cell r="D21">
            <v>0</v>
          </cell>
          <cell r="E21">
            <v>0</v>
          </cell>
          <cell r="G21" t="str">
            <v/>
          </cell>
          <cell r="J21" t="str">
            <v>Solar power</v>
          </cell>
          <cell r="L21">
            <v>0</v>
          </cell>
          <cell r="N21">
            <v>0</v>
          </cell>
          <cell r="P21">
            <v>0</v>
          </cell>
        </row>
        <row r="22">
          <cell r="C22" t="str">
            <v>Waste</v>
          </cell>
          <cell r="D22">
            <v>0</v>
          </cell>
          <cell r="E22">
            <v>0</v>
          </cell>
          <cell r="G22" t="str">
            <v/>
          </cell>
          <cell r="J22" t="str">
            <v>Nuclear</v>
          </cell>
          <cell r="L22">
            <v>0</v>
          </cell>
          <cell r="N22">
            <v>0</v>
          </cell>
          <cell r="P22">
            <v>0</v>
          </cell>
        </row>
        <row r="23">
          <cell r="C23" t="str">
            <v>Wave</v>
          </cell>
          <cell r="D23">
            <v>0</v>
          </cell>
          <cell r="E23">
            <v>0</v>
          </cell>
          <cell r="G23" t="str">
            <v/>
          </cell>
          <cell r="J23" t="str">
            <v>Geothermal</v>
          </cell>
          <cell r="L23">
            <v>0</v>
          </cell>
          <cell r="N23">
            <v>0</v>
          </cell>
          <cell r="P23">
            <v>0</v>
          </cell>
        </row>
        <row r="24">
          <cell r="C24" t="str">
            <v>Wind</v>
          </cell>
          <cell r="D24">
            <v>0</v>
          </cell>
          <cell r="E24">
            <v>0</v>
          </cell>
          <cell r="G24" t="str">
            <v/>
          </cell>
          <cell r="J24" t="str">
            <v>Wave power</v>
          </cell>
          <cell r="L24">
            <v>0</v>
          </cell>
          <cell r="N24">
            <v>0</v>
          </cell>
          <cell r="P24">
            <v>0</v>
          </cell>
        </row>
        <row r="25">
          <cell r="C25" t="str">
            <v>Chemical</v>
          </cell>
          <cell r="D25">
            <v>0</v>
          </cell>
          <cell r="E25">
            <v>0</v>
          </cell>
          <cell r="G25" t="str">
            <v/>
          </cell>
          <cell r="J25" t="str">
            <v>Natural Gas w. CCS</v>
          </cell>
          <cell r="L25">
            <v>0</v>
          </cell>
          <cell r="N25">
            <v>0</v>
          </cell>
          <cell r="P25">
            <v>0</v>
          </cell>
        </row>
        <row r="26">
          <cell r="C26" t="str">
            <v>Oil shale</v>
          </cell>
          <cell r="D26">
            <v>0</v>
          </cell>
          <cell r="E26">
            <v>0</v>
          </cell>
          <cell r="G26" t="str">
            <v/>
          </cell>
          <cell r="J26" t="str">
            <v>Coal w. CCS</v>
          </cell>
          <cell r="L26">
            <v>0</v>
          </cell>
          <cell r="N26">
            <v>0</v>
          </cell>
          <cell r="P26">
            <v>0</v>
          </cell>
        </row>
        <row r="27">
          <cell r="C27">
            <v>0</v>
          </cell>
          <cell r="D27">
            <v>0</v>
          </cell>
          <cell r="E27">
            <v>0</v>
          </cell>
          <cell r="G27" t="str">
            <v/>
          </cell>
          <cell r="J27" t="str">
            <v>Old Coal</v>
          </cell>
          <cell r="L27">
            <v>0</v>
          </cell>
          <cell r="N27">
            <v>0</v>
          </cell>
          <cell r="P27">
            <v>0</v>
          </cell>
        </row>
        <row r="28">
          <cell r="C28">
            <v>0</v>
          </cell>
          <cell r="D28">
            <v>0</v>
          </cell>
          <cell r="E28">
            <v>0</v>
          </cell>
          <cell r="G28" t="str">
            <v/>
          </cell>
          <cell r="J28" t="str">
            <v>Old Gas</v>
          </cell>
          <cell r="L28">
            <v>0</v>
          </cell>
          <cell r="N28">
            <v>0</v>
          </cell>
          <cell r="P28">
            <v>0</v>
          </cell>
        </row>
        <row r="29">
          <cell r="C29">
            <v>0</v>
          </cell>
          <cell r="D29">
            <v>0</v>
          </cell>
          <cell r="E29">
            <v>0</v>
          </cell>
          <cell r="G29" t="str">
            <v/>
          </cell>
          <cell r="J29" t="str">
            <v>Biomass w. CCS</v>
          </cell>
          <cell r="N29">
            <v>0</v>
          </cell>
          <cell r="P29">
            <v>0</v>
          </cell>
        </row>
        <row r="30">
          <cell r="C30">
            <v>0</v>
          </cell>
          <cell r="D30">
            <v>0</v>
          </cell>
          <cell r="E30">
            <v>0</v>
          </cell>
          <cell r="G30" t="str">
            <v/>
          </cell>
          <cell r="J30" t="str">
            <v>Hydrogen</v>
          </cell>
          <cell r="N30">
            <v>0</v>
          </cell>
          <cell r="P30">
            <v>0</v>
          </cell>
        </row>
        <row r="31">
          <cell r="G31" t="str">
            <v/>
          </cell>
        </row>
        <row r="32">
          <cell r="G32" t="str">
            <v/>
          </cell>
        </row>
        <row r="33">
          <cell r="G33" t="str">
            <v/>
          </cell>
        </row>
        <row r="34">
          <cell r="G34" t="str">
            <v/>
          </cell>
        </row>
        <row r="35">
          <cell r="G35" t="str">
            <v/>
          </cell>
        </row>
        <row r="36">
          <cell r="G36" t="str">
            <v/>
          </cell>
        </row>
        <row r="37">
          <cell r="G37" t="str">
            <v/>
          </cell>
        </row>
        <row r="38">
          <cell r="G38" t="str">
            <v/>
          </cell>
        </row>
        <row r="39">
          <cell r="G39" t="str">
            <v/>
          </cell>
        </row>
        <row r="40">
          <cell r="G40" t="str">
            <v/>
          </cell>
        </row>
        <row r="41">
          <cell r="G41" t="str">
            <v/>
          </cell>
        </row>
        <row r="42">
          <cell r="G42" t="str">
            <v/>
          </cell>
        </row>
        <row r="43">
          <cell r="G43" t="str">
            <v/>
          </cell>
        </row>
        <row r="44">
          <cell r="G44" t="str">
            <v/>
          </cell>
        </row>
        <row r="45">
          <cell r="G45" t="str">
            <v/>
          </cell>
        </row>
        <row r="46">
          <cell r="G46" t="str">
            <v/>
          </cell>
        </row>
        <row r="47">
          <cell r="G47" t="str">
            <v/>
          </cell>
        </row>
        <row r="48">
          <cell r="G48" t="str">
            <v/>
          </cell>
        </row>
        <row r="49">
          <cell r="G49" t="str">
            <v/>
          </cell>
        </row>
        <row r="50">
          <cell r="G50" t="str">
            <v/>
          </cell>
        </row>
        <row r="51">
          <cell r="G51" t="str">
            <v/>
          </cell>
        </row>
        <row r="52">
          <cell r="G52" t="str">
            <v/>
          </cell>
        </row>
        <row r="53">
          <cell r="G53" t="str">
            <v/>
          </cell>
        </row>
        <row r="54">
          <cell r="G54" t="str">
            <v/>
          </cell>
        </row>
        <row r="55">
          <cell r="G55" t="str">
            <v/>
          </cell>
        </row>
        <row r="56">
          <cell r="G56" t="str">
            <v/>
          </cell>
        </row>
        <row r="57">
          <cell r="G57" t="str">
            <v/>
          </cell>
        </row>
        <row r="58">
          <cell r="G58" t="str">
            <v/>
          </cell>
        </row>
        <row r="59">
          <cell r="G59" t="str">
            <v/>
          </cell>
        </row>
        <row r="60">
          <cell r="G60" t="str">
            <v/>
          </cell>
        </row>
        <row r="61">
          <cell r="G61" t="str">
            <v/>
          </cell>
        </row>
        <row r="62">
          <cell r="G62" t="str">
            <v/>
          </cell>
        </row>
        <row r="63">
          <cell r="G63" t="str">
            <v/>
          </cell>
        </row>
        <row r="64">
          <cell r="G64" t="str">
            <v/>
          </cell>
        </row>
        <row r="65">
          <cell r="G65" t="str">
            <v/>
          </cell>
        </row>
        <row r="66">
          <cell r="G66" t="str">
            <v/>
          </cell>
        </row>
        <row r="67">
          <cell r="G67" t="str">
            <v/>
          </cell>
        </row>
        <row r="68">
          <cell r="G68" t="str">
            <v/>
          </cell>
        </row>
        <row r="69">
          <cell r="G69" t="str">
            <v/>
          </cell>
        </row>
        <row r="70">
          <cell r="G70" t="str">
            <v/>
          </cell>
        </row>
        <row r="71">
          <cell r="G71" t="str">
            <v/>
          </cell>
        </row>
        <row r="72">
          <cell r="G72" t="str">
            <v/>
          </cell>
        </row>
        <row r="73">
          <cell r="G73" t="str">
            <v/>
          </cell>
        </row>
        <row r="74">
          <cell r="G74" t="str">
            <v/>
          </cell>
        </row>
        <row r="75">
          <cell r="G75" t="str">
            <v/>
          </cell>
        </row>
      </sheetData>
      <sheetData sheetId="47"/>
      <sheetData sheetId="48">
        <row r="21">
          <cell r="A21" t="str">
            <v>[11]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B_VS"/>
      <sheetName val="TransportB_EE"/>
      <sheetName val="Kytuste_maksumus_kokku"/>
      <sheetName val="Fuel data"/>
      <sheetName val="Pcar"/>
      <sheetName val="Bus"/>
      <sheetName val="Van+Lorry"/>
      <sheetName val="Lorry eco"/>
      <sheetName val="Van eco"/>
      <sheetName val="Base Year Input"/>
      <sheetName val="Index"/>
      <sheetName val="Graph summary"/>
      <sheetName val="Basic Information"/>
      <sheetName val="Sources"/>
    </sheetNames>
    <sheetDataSet>
      <sheetData sheetId="0">
        <row r="56">
          <cell r="Q56">
            <v>19279.204483105743</v>
          </cell>
        </row>
      </sheetData>
      <sheetData sheetId="1">
        <row r="56">
          <cell r="C56">
            <v>22699.089477547212</v>
          </cell>
        </row>
      </sheetData>
      <sheetData sheetId="2"/>
      <sheetData sheetId="3"/>
      <sheetData sheetId="4"/>
      <sheetData sheetId="5"/>
      <sheetData sheetId="6"/>
      <sheetData sheetId="7"/>
      <sheetData sheetId="8"/>
      <sheetData sheetId="9"/>
      <sheetData sheetId="10"/>
      <sheetData sheetId="11"/>
      <sheetData sheetId="12">
        <row r="7">
          <cell r="B7" t="str">
            <v>Base</v>
          </cell>
          <cell r="C7">
            <v>2010</v>
          </cell>
        </row>
        <row r="8">
          <cell r="B8" t="str">
            <v>BAU20</v>
          </cell>
          <cell r="C8">
            <v>2020</v>
          </cell>
        </row>
        <row r="9">
          <cell r="B9" t="str">
            <v>EE20</v>
          </cell>
          <cell r="C9">
            <v>2020</v>
          </cell>
        </row>
        <row r="32">
          <cell r="C32">
            <v>0.05</v>
          </cell>
        </row>
        <row r="33">
          <cell r="C33">
            <v>7.45</v>
          </cell>
        </row>
      </sheetData>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Year Input"/>
      <sheetName val="STREAM Light"/>
      <sheetName val="Index"/>
      <sheetName val="Graph summary"/>
      <sheetName val="Basic Information"/>
      <sheetName val="Fuel data"/>
      <sheetName val="El-Tech"/>
      <sheetName val="DH-Tech"/>
      <sheetName val="Fuel Refinery-Tech"/>
      <sheetName val="Res-Tech"/>
      <sheetName val="Ter-Tech"/>
      <sheetName val="Ind-Tech"/>
      <sheetName val="Residential"/>
      <sheetName val="Tertiary"/>
      <sheetName val="Industry"/>
      <sheetName val="Transport"/>
      <sheetName val="Power and Heat"/>
      <sheetName val="Fuel shares"/>
      <sheetName val="Energy branch"/>
      <sheetName val="Electricity Demand"/>
      <sheetName val="DH Demand"/>
      <sheetName val="Energy Balance Pivot "/>
      <sheetName val="Ener. Balance Pivot Source"/>
      <sheetName val="Energy balance"/>
      <sheetName val="Data for graphs"/>
      <sheetName val="Econ Balance Sample Pivot"/>
      <sheetName val="Economic balance"/>
      <sheetName val="Eco. Balance Pivot Source"/>
      <sheetName val="Environmental balance"/>
      <sheetName val="Env. Balance Pivot Source"/>
      <sheetName val="El-Calc"/>
      <sheetName val="DH-Calc"/>
      <sheetName val="Fuel Refinery-Calc"/>
      <sheetName val="Ind-Calc"/>
      <sheetName val="Res-Calc"/>
      <sheetName val="Ark2"/>
      <sheetName val="Ter-Calc"/>
      <sheetName val="Pcar"/>
      <sheetName val="Bus"/>
      <sheetName val="Van+Lorry"/>
      <sheetName val="Van eco"/>
      <sheetName val="Lorry eco"/>
      <sheetName val="Put Stream Light data"/>
      <sheetName val="Import-Export"/>
      <sheetName val="Imp from Dur.Curve"/>
      <sheetName val="Exp to Dur.Curve"/>
      <sheetName val="Definitions"/>
      <sheetName val="AGEE graphs"/>
      <sheetName val="Sources"/>
      <sheetName val="STREAM FlowModel RefScen2020 - "/>
    </sheetNames>
    <sheetDataSet>
      <sheetData sheetId="0">
        <row r="7">
          <cell r="B7">
            <v>14972.4</v>
          </cell>
        </row>
      </sheetData>
      <sheetData sheetId="1">
        <row r="7">
          <cell r="C7" t="str">
            <v>High growth</v>
          </cell>
        </row>
      </sheetData>
      <sheetData sheetId="2"/>
      <sheetData sheetId="3"/>
      <sheetData sheetId="4">
        <row r="7">
          <cell r="B7" t="str">
            <v>Base</v>
          </cell>
        </row>
        <row r="8">
          <cell r="B8" t="str">
            <v>BAU20</v>
          </cell>
        </row>
      </sheetData>
      <sheetData sheetId="5">
        <row r="11">
          <cell r="A11" t="str">
            <v>Electricity</v>
          </cell>
        </row>
      </sheetData>
      <sheetData sheetId="6">
        <row r="12">
          <cell r="A12" t="str">
            <v>Coal Plant (incl. Peat)</v>
          </cell>
        </row>
      </sheetData>
      <sheetData sheetId="7">
        <row r="12">
          <cell r="A12" t="str">
            <v>Coal boiler</v>
          </cell>
        </row>
      </sheetData>
      <sheetData sheetId="8">
        <row r="9">
          <cell r="C9" t="str">
            <v>Investment - Refinery
[€/GJ/year]</v>
          </cell>
        </row>
      </sheetData>
      <sheetData sheetId="9">
        <row r="8">
          <cell r="C8" t="str">
            <v>Source: [4]+[5]</v>
          </cell>
        </row>
      </sheetData>
      <sheetData sheetId="10">
        <row r="8">
          <cell r="C8" t="str">
            <v>Source: [4]+[5]</v>
          </cell>
        </row>
      </sheetData>
      <sheetData sheetId="11">
        <row r="9">
          <cell r="C9" t="str">
            <v>Tech eff 
[%]</v>
          </cell>
        </row>
      </sheetData>
      <sheetData sheetId="12">
        <row r="8">
          <cell r="B8" t="str">
            <v>Fuel</v>
          </cell>
        </row>
      </sheetData>
      <sheetData sheetId="13">
        <row r="8">
          <cell r="B8" t="str">
            <v>Fuel</v>
          </cell>
        </row>
      </sheetData>
      <sheetData sheetId="14">
        <row r="8">
          <cell r="B8" t="str">
            <v>Fuel</v>
          </cell>
        </row>
      </sheetData>
      <sheetData sheetId="15">
        <row r="7">
          <cell r="B7" t="str">
            <v>Base</v>
          </cell>
        </row>
      </sheetData>
      <sheetData sheetId="16">
        <row r="7">
          <cell r="C7" t="str">
            <v>Shares</v>
          </cell>
        </row>
      </sheetData>
      <sheetData sheetId="17">
        <row r="8">
          <cell r="B8" t="str">
            <v>Production Unit</v>
          </cell>
        </row>
      </sheetData>
      <sheetData sheetId="18"/>
      <sheetData sheetId="19"/>
      <sheetData sheetId="20"/>
      <sheetData sheetId="21">
        <row r="7">
          <cell r="B7">
            <v>18.241159809735443</v>
          </cell>
        </row>
      </sheetData>
      <sheetData sheetId="22">
        <row r="1">
          <cell r="A1" t="str">
            <v>Fuel</v>
          </cell>
        </row>
      </sheetData>
      <sheetData sheetId="23"/>
      <sheetData sheetId="24"/>
      <sheetData sheetId="25">
        <row r="7">
          <cell r="B7">
            <v>0</v>
          </cell>
        </row>
      </sheetData>
      <sheetData sheetId="26"/>
      <sheetData sheetId="27">
        <row r="1">
          <cell r="A1" t="str">
            <v>Fuel</v>
          </cell>
        </row>
      </sheetData>
      <sheetData sheetId="28"/>
      <sheetData sheetId="29">
        <row r="1">
          <cell r="A1" t="str">
            <v>Fuel</v>
          </cell>
        </row>
      </sheetData>
      <sheetData sheetId="30">
        <row r="7">
          <cell r="C7" t="str">
            <v>Energy</v>
          </cell>
        </row>
      </sheetData>
      <sheetData sheetId="31">
        <row r="7">
          <cell r="C7" t="str">
            <v>Energy</v>
          </cell>
        </row>
      </sheetData>
      <sheetData sheetId="32">
        <row r="8">
          <cell r="B8" t="str">
            <v>Fuel consumption in all sectors [PJ]</v>
          </cell>
        </row>
      </sheetData>
      <sheetData sheetId="33">
        <row r="7">
          <cell r="C7" t="str">
            <v>Energy</v>
          </cell>
        </row>
      </sheetData>
      <sheetData sheetId="34">
        <row r="7">
          <cell r="C7" t="str">
            <v>Energy</v>
          </cell>
        </row>
      </sheetData>
      <sheetData sheetId="35">
        <row r="7">
          <cell r="B7">
            <v>3</v>
          </cell>
        </row>
      </sheetData>
      <sheetData sheetId="36">
        <row r="7">
          <cell r="C7" t="str">
            <v>Energy</v>
          </cell>
        </row>
      </sheetData>
      <sheetData sheetId="37">
        <row r="7">
          <cell r="B7" t="str">
            <v>Ekskl.
afgift</v>
          </cell>
        </row>
      </sheetData>
      <sheetData sheetId="38">
        <row r="7">
          <cell r="B7" t="str">
            <v>diesel</v>
          </cell>
        </row>
      </sheetData>
      <sheetData sheetId="39">
        <row r="8">
          <cell r="B8">
            <v>6350</v>
          </cell>
        </row>
      </sheetData>
      <sheetData sheetId="40">
        <row r="7">
          <cell r="B7">
            <v>4.5</v>
          </cell>
        </row>
      </sheetData>
      <sheetData sheetId="41">
        <row r="7">
          <cell r="B7">
            <v>12</v>
          </cell>
        </row>
      </sheetData>
      <sheetData sheetId="42">
        <row r="7">
          <cell r="B7" t="str">
            <v>STREAM Light</v>
          </cell>
        </row>
      </sheetData>
      <sheetData sheetId="43">
        <row r="7">
          <cell r="B7" t="str">
            <v>Flow Model</v>
          </cell>
        </row>
      </sheetData>
      <sheetData sheetId="44">
        <row r="8">
          <cell r="B8" t="str">
            <v>Electricity  and 
CHP Production</v>
          </cell>
        </row>
      </sheetData>
      <sheetData sheetId="45"/>
      <sheetData sheetId="46">
        <row r="7">
          <cell r="B7" t="str">
            <v>Name</v>
          </cell>
        </row>
      </sheetData>
      <sheetData sheetId="47">
        <row r="7">
          <cell r="C7" t="str">
            <v>Base 2010</v>
          </cell>
        </row>
      </sheetData>
      <sheetData sheetId="48">
        <row r="21">
          <cell r="A21" t="str">
            <v>[11]</v>
          </cell>
        </row>
      </sheetData>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8" Type="http://schemas.openxmlformats.org/officeDocument/2006/relationships/hyperlink" Target="http://www.icispricing.com/prices/series.asp?sno=4065024" TargetMode="External"/><Relationship Id="rId3" Type="http://schemas.openxmlformats.org/officeDocument/2006/relationships/hyperlink" Target="http://www.icispricing.com/prices/series.asp?sno=4065020" TargetMode="External"/><Relationship Id="rId7" Type="http://schemas.openxmlformats.org/officeDocument/2006/relationships/hyperlink" Target="http://www.icispricing.com/prices/series.asp?sno=4065023" TargetMode="External"/><Relationship Id="rId2" Type="http://schemas.openxmlformats.org/officeDocument/2006/relationships/hyperlink" Target="http://www.icispricing.com/prices/series.asp?sno=4065019" TargetMode="External"/><Relationship Id="rId1" Type="http://schemas.openxmlformats.org/officeDocument/2006/relationships/hyperlink" Target="http://www.icispricing.com/prices/series.asp?sno=4065028" TargetMode="External"/><Relationship Id="rId6" Type="http://schemas.openxmlformats.org/officeDocument/2006/relationships/hyperlink" Target="http://www.icispricing.com/prices/series.asp?sno=4065022" TargetMode="External"/><Relationship Id="rId5" Type="http://schemas.openxmlformats.org/officeDocument/2006/relationships/hyperlink" Target="http://www.icispricing.com/prices/series.asp?sno=4065010" TargetMode="External"/><Relationship Id="rId4" Type="http://schemas.openxmlformats.org/officeDocument/2006/relationships/hyperlink" Target="http://www.icispricing.com/prices/series.asp?sno=4065021"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n.wikipedia.org/wiki/Value_added_tax"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145"/>
  <sheetViews>
    <sheetView topLeftCell="I46" zoomScale="85" zoomScaleNormal="85" zoomScalePageLayoutView="85" workbookViewId="0">
      <selection activeCell="W70" sqref="W70"/>
    </sheetView>
  </sheetViews>
  <sheetFormatPr defaultColWidth="8.77734375" defaultRowHeight="13.8" x14ac:dyDescent="0.3"/>
  <cols>
    <col min="1" max="1" width="3.44140625" style="228" customWidth="1"/>
    <col min="2" max="2" width="40.33203125" style="228" customWidth="1"/>
    <col min="3" max="3" width="6.109375" style="228" customWidth="1"/>
    <col min="4" max="12" width="8.77734375" style="228"/>
    <col min="13" max="13" width="33.33203125" style="228" customWidth="1"/>
    <col min="14" max="16384" width="8.77734375" style="228"/>
  </cols>
  <sheetData>
    <row r="4" spans="2:11" x14ac:dyDescent="0.3">
      <c r="B4" s="231" t="s">
        <v>643</v>
      </c>
      <c r="C4" s="232"/>
      <c r="D4" s="232"/>
      <c r="E4" s="232"/>
      <c r="F4" s="232"/>
      <c r="G4" s="232"/>
      <c r="H4" s="232"/>
      <c r="I4" s="232"/>
      <c r="J4" s="232"/>
      <c r="K4" s="232"/>
    </row>
    <row r="5" spans="2:11" x14ac:dyDescent="0.3">
      <c r="B5" s="181"/>
      <c r="C5" s="90" t="s">
        <v>143</v>
      </c>
      <c r="D5" s="90">
        <v>2015</v>
      </c>
      <c r="E5" s="90">
        <v>2020</v>
      </c>
      <c r="F5" s="90">
        <v>2025</v>
      </c>
      <c r="G5" s="90">
        <v>2030</v>
      </c>
      <c r="H5" s="90">
        <v>2035</v>
      </c>
      <c r="I5" s="90">
        <v>2040</v>
      </c>
      <c r="J5" s="90">
        <v>2045</v>
      </c>
      <c r="K5" s="90">
        <v>2050</v>
      </c>
    </row>
    <row r="6" spans="2:11" x14ac:dyDescent="0.3">
      <c r="B6" s="182" t="s">
        <v>609</v>
      </c>
      <c r="C6" s="92" t="s">
        <v>65</v>
      </c>
      <c r="D6" s="166">
        <f>Biomet_mittes!E88+Bioet_mittes!E69</f>
        <v>381.76069638469636</v>
      </c>
      <c r="E6" s="166">
        <f>Biomet_mittes!F88+Bioet_mittes!F69</f>
        <v>1972.4302646542646</v>
      </c>
      <c r="F6" s="166">
        <f>Biomet_mittes!G88+Bioet_mittes!G69</f>
        <v>2545.071309231309</v>
      </c>
      <c r="G6" s="166">
        <f>Biomet_mittes!H88+Bioet_mittes!H69</f>
        <v>3346.7687716391715</v>
      </c>
      <c r="H6" s="166">
        <f>Biomet_mittes!I88+Bioet_mittes!I69</f>
        <v>3817.6069638469639</v>
      </c>
      <c r="I6" s="166">
        <f>Biomet_mittes!J88+Bioet_mittes!J69</f>
        <v>4123.0155209547211</v>
      </c>
      <c r="J6" s="166">
        <f>Biomet_mittes!K88+Bioet_mittes!K69</f>
        <v>4453.8747911547907</v>
      </c>
      <c r="K6" s="166">
        <f>Biomet_mittes!L88+Bioet_mittes!L69</f>
        <v>4718.5622073148479</v>
      </c>
    </row>
    <row r="7" spans="2:11" x14ac:dyDescent="0.3">
      <c r="B7" s="183" t="s">
        <v>610</v>
      </c>
      <c r="C7" s="92" t="s">
        <v>181</v>
      </c>
      <c r="D7" s="166">
        <f>Biomet_mittes!E89+Bioet_mittes!E70</f>
        <v>0</v>
      </c>
      <c r="E7" s="166">
        <f>Biomet_mittes!F89+Bioet_mittes!F70</f>
        <v>0</v>
      </c>
      <c r="F7" s="166">
        <f>Biomet_mittes!G89+Bioet_mittes!G70</f>
        <v>0</v>
      </c>
      <c r="G7" s="166">
        <f>Biomet_mittes!H89+Bioet_mittes!H70</f>
        <v>0</v>
      </c>
      <c r="H7" s="166">
        <f>Biomet_mittes!I89+Bioet_mittes!I70</f>
        <v>0</v>
      </c>
      <c r="I7" s="166">
        <f>Biomet_mittes!J89+Bioet_mittes!J70</f>
        <v>0</v>
      </c>
      <c r="J7" s="166">
        <f>Biomet_mittes!K89+Bioet_mittes!K70</f>
        <v>0</v>
      </c>
      <c r="K7" s="166">
        <f>Biomet_mittes!L89+Bioet_mittes!L70</f>
        <v>0</v>
      </c>
    </row>
    <row r="8" spans="2:11" x14ac:dyDescent="0.3">
      <c r="B8" s="184" t="s">
        <v>736</v>
      </c>
      <c r="C8" s="92" t="s">
        <v>181</v>
      </c>
      <c r="D8" s="166">
        <f>Biomet_mittes!E90+Bioet_mittes!E71</f>
        <v>0</v>
      </c>
      <c r="E8" s="166">
        <f>Biomet_mittes!F90+Bioet_mittes!F71</f>
        <v>0</v>
      </c>
      <c r="F8" s="166">
        <f>Biomet_mittes!G90+Bioet_mittes!G71</f>
        <v>0</v>
      </c>
      <c r="G8" s="166">
        <f>Biomet_mittes!H90+Bioet_mittes!H71</f>
        <v>0</v>
      </c>
      <c r="H8" s="166">
        <f>Biomet_mittes!I90+Bioet_mittes!I71</f>
        <v>0</v>
      </c>
      <c r="I8" s="166">
        <f>Biomet_mittes!J90+Bioet_mittes!J71</f>
        <v>0</v>
      </c>
      <c r="J8" s="166">
        <f>Biomet_mittes!K90+Bioet_mittes!K71</f>
        <v>0</v>
      </c>
      <c r="K8" s="166">
        <f>Biomet_mittes!L90+Bioet_mittes!L71</f>
        <v>0</v>
      </c>
    </row>
    <row r="9" spans="2:11" x14ac:dyDescent="0.3">
      <c r="B9" s="184" t="s">
        <v>590</v>
      </c>
      <c r="C9" s="92" t="s">
        <v>181</v>
      </c>
      <c r="D9" s="166">
        <f>Biomet_mittes!E91+Bioet_mittes!E72</f>
        <v>0</v>
      </c>
      <c r="E9" s="166">
        <f>Biomet_mittes!F91+Bioet_mittes!F72</f>
        <v>0</v>
      </c>
      <c r="F9" s="166">
        <f>Biomet_mittes!G91+Bioet_mittes!G72</f>
        <v>0</v>
      </c>
      <c r="G9" s="166">
        <f>Biomet_mittes!H91+Bioet_mittes!H72</f>
        <v>0</v>
      </c>
      <c r="H9" s="166">
        <f>Biomet_mittes!I91+Bioet_mittes!I72</f>
        <v>0</v>
      </c>
      <c r="I9" s="166">
        <f>Biomet_mittes!J91+Bioet_mittes!J72</f>
        <v>0</v>
      </c>
      <c r="J9" s="166">
        <f>Biomet_mittes!K91+Bioet_mittes!K72</f>
        <v>0</v>
      </c>
      <c r="K9" s="166">
        <f>Biomet_mittes!L91+Bioet_mittes!L72</f>
        <v>0</v>
      </c>
    </row>
    <row r="10" spans="2:11" x14ac:dyDescent="0.3">
      <c r="B10" s="184" t="s">
        <v>737</v>
      </c>
      <c r="C10" s="92" t="s">
        <v>181</v>
      </c>
      <c r="D10" s="166">
        <f>Biomet_mittes!E92+Bioet_mittes!E73</f>
        <v>0</v>
      </c>
      <c r="E10" s="166">
        <f>Biomet_mittes!F92+Bioet_mittes!F73</f>
        <v>0</v>
      </c>
      <c r="F10" s="166">
        <f>Biomet_mittes!G92+Bioet_mittes!G73</f>
        <v>0</v>
      </c>
      <c r="G10" s="166">
        <f>Biomet_mittes!H92+Bioet_mittes!H73</f>
        <v>0</v>
      </c>
      <c r="H10" s="166">
        <f>Biomet_mittes!I92+Bioet_mittes!I73</f>
        <v>0</v>
      </c>
      <c r="I10" s="166">
        <f>Biomet_mittes!J92+Bioet_mittes!J73</f>
        <v>0</v>
      </c>
      <c r="J10" s="166">
        <f>Biomet_mittes!K92+Bioet_mittes!K73</f>
        <v>0</v>
      </c>
      <c r="K10" s="166">
        <f>Biomet_mittes!L92+Bioet_mittes!L73</f>
        <v>0</v>
      </c>
    </row>
    <row r="11" spans="2:11" x14ac:dyDescent="0.3">
      <c r="B11" s="184" t="s">
        <v>738</v>
      </c>
      <c r="C11" s="92" t="s">
        <v>181</v>
      </c>
      <c r="D11" s="166">
        <f>Biomet_mittes!E93+Bioet_mittes!E74</f>
        <v>0</v>
      </c>
      <c r="E11" s="166">
        <f>Biomet_mittes!F93+Bioet_mittes!F74</f>
        <v>0</v>
      </c>
      <c r="F11" s="166">
        <f>Biomet_mittes!G93+Bioet_mittes!G74</f>
        <v>0</v>
      </c>
      <c r="G11" s="166">
        <f>Biomet_mittes!H93+Bioet_mittes!H74</f>
        <v>0</v>
      </c>
      <c r="H11" s="166">
        <f>Biomet_mittes!I93+Bioet_mittes!I74</f>
        <v>0</v>
      </c>
      <c r="I11" s="166">
        <f>Biomet_mittes!J93+Bioet_mittes!J74</f>
        <v>0</v>
      </c>
      <c r="J11" s="166">
        <f>Biomet_mittes!K93+Bioet_mittes!K74</f>
        <v>0</v>
      </c>
      <c r="K11" s="166">
        <f>Biomet_mittes!L93+Bioet_mittes!L74</f>
        <v>0</v>
      </c>
    </row>
    <row r="12" spans="2:11" x14ac:dyDescent="0.3">
      <c r="B12" s="184" t="s">
        <v>628</v>
      </c>
      <c r="C12" s="92" t="s">
        <v>181</v>
      </c>
      <c r="D12" s="166">
        <f>Biomet_mittes!E94+Bioet_mittes!E75</f>
        <v>0</v>
      </c>
      <c r="E12" s="166">
        <f>Biomet_mittes!F94+Bioet_mittes!F75</f>
        <v>0</v>
      </c>
      <c r="F12" s="166">
        <f>Biomet_mittes!G94+Bioet_mittes!G75</f>
        <v>0</v>
      </c>
      <c r="G12" s="166">
        <f>Biomet_mittes!H94+Bioet_mittes!H75</f>
        <v>0</v>
      </c>
      <c r="H12" s="166">
        <f>Biomet_mittes!I94+Bioet_mittes!I75</f>
        <v>0</v>
      </c>
      <c r="I12" s="166">
        <f>Biomet_mittes!J94+Bioet_mittes!J75</f>
        <v>0</v>
      </c>
      <c r="J12" s="166">
        <f>Biomet_mittes!K94+Bioet_mittes!K75</f>
        <v>0</v>
      </c>
      <c r="K12" s="166">
        <f>Biomet_mittes!L94+Bioet_mittes!L75</f>
        <v>0</v>
      </c>
    </row>
    <row r="13" spans="2:11" x14ac:dyDescent="0.3">
      <c r="B13" s="184" t="s">
        <v>631</v>
      </c>
      <c r="C13" s="92" t="s">
        <v>181</v>
      </c>
      <c r="D13" s="166">
        <f>Biomet_mittes!E95+Bioet_mittes!E76</f>
        <v>0</v>
      </c>
      <c r="E13" s="166">
        <f>Biomet_mittes!F95+Bioet_mittes!F76</f>
        <v>0</v>
      </c>
      <c r="F13" s="166">
        <f>Biomet_mittes!G95+Bioet_mittes!G76</f>
        <v>0</v>
      </c>
      <c r="G13" s="166">
        <f>Biomet_mittes!H95+Bioet_mittes!H76</f>
        <v>0</v>
      </c>
      <c r="H13" s="166">
        <f>Biomet_mittes!I95+Bioet_mittes!I76</f>
        <v>0</v>
      </c>
      <c r="I13" s="166">
        <f>Biomet_mittes!J95+Bioet_mittes!J76</f>
        <v>0</v>
      </c>
      <c r="J13" s="166">
        <f>Biomet_mittes!K95+Bioet_mittes!K76</f>
        <v>0</v>
      </c>
      <c r="K13" s="166">
        <f>Biomet_mittes!L95+Bioet_mittes!L76</f>
        <v>0</v>
      </c>
    </row>
    <row r="14" spans="2:11" x14ac:dyDescent="0.3">
      <c r="B14" s="182" t="s">
        <v>597</v>
      </c>
      <c r="C14" s="92" t="s">
        <v>181</v>
      </c>
      <c r="D14" s="166">
        <f>Biomet_mittes!E96+Bioet_mittes!E77</f>
        <v>0</v>
      </c>
      <c r="E14" s="166">
        <f>Biomet_mittes!F96+Bioet_mittes!F77</f>
        <v>0</v>
      </c>
      <c r="F14" s="166">
        <f>Biomet_mittes!G96+Bioet_mittes!G77</f>
        <v>0</v>
      </c>
      <c r="G14" s="166">
        <f>Biomet_mittes!H96+Bioet_mittes!H77</f>
        <v>0</v>
      </c>
      <c r="H14" s="166">
        <f>Biomet_mittes!I96+Bioet_mittes!I77</f>
        <v>0</v>
      </c>
      <c r="I14" s="166">
        <f>Biomet_mittes!J96+Bioet_mittes!J77</f>
        <v>0</v>
      </c>
      <c r="J14" s="166">
        <f>Biomet_mittes!K96+Bioet_mittes!K77</f>
        <v>0</v>
      </c>
      <c r="K14" s="166">
        <f>Biomet_mittes!L96+Bioet_mittes!L77</f>
        <v>0</v>
      </c>
    </row>
    <row r="15" spans="2:11" x14ac:dyDescent="0.3">
      <c r="B15" s="183" t="s">
        <v>611</v>
      </c>
      <c r="C15" s="92" t="s">
        <v>181</v>
      </c>
      <c r="D15" s="957">
        <f>Biomet_mittes!E97+Bioet_mittes!E78</f>
        <v>0</v>
      </c>
      <c r="E15" s="957">
        <f>Biomet_mittes!F97+Bioet_mittes!F78</f>
        <v>0</v>
      </c>
      <c r="F15" s="957">
        <f>Biomet_mittes!G97+Bioet_mittes!G78</f>
        <v>0</v>
      </c>
      <c r="G15" s="957">
        <f>Biomet_mittes!H97+Bioet_mittes!H78</f>
        <v>0</v>
      </c>
      <c r="H15" s="957">
        <f>Biomet_mittes!I97+Bioet_mittes!I78</f>
        <v>0</v>
      </c>
      <c r="I15" s="957">
        <f>Biomet_mittes!J97+Bioet_mittes!J78</f>
        <v>0</v>
      </c>
      <c r="J15" s="957">
        <f>Biomet_mittes!K97+Bioet_mittes!K78</f>
        <v>0</v>
      </c>
      <c r="K15" s="957">
        <f>Biomet_mittes!L97+Bioet_mittes!L78</f>
        <v>0</v>
      </c>
    </row>
    <row r="16" spans="2:11" x14ac:dyDescent="0.3">
      <c r="B16" s="183" t="s">
        <v>189</v>
      </c>
      <c r="C16" s="92" t="s">
        <v>181</v>
      </c>
      <c r="D16" s="166">
        <f>Biomet_mittes!E98+Bioet_mittes!E79</f>
        <v>0</v>
      </c>
      <c r="E16" s="166">
        <f>Biomet_mittes!F98+Bioet_mittes!F79</f>
        <v>0</v>
      </c>
      <c r="F16" s="166">
        <f>Biomet_mittes!G98+Bioet_mittes!G79</f>
        <v>0</v>
      </c>
      <c r="G16" s="166">
        <f>Biomet_mittes!H98+Bioet_mittes!H79</f>
        <v>0</v>
      </c>
      <c r="H16" s="166">
        <f>Biomet_mittes!I98+Bioet_mittes!I79</f>
        <v>0</v>
      </c>
      <c r="I16" s="166">
        <f>Biomet_mittes!J98+Bioet_mittes!J79</f>
        <v>0</v>
      </c>
      <c r="J16" s="166">
        <f>Biomet_mittes!K98+Bioet_mittes!K79</f>
        <v>0</v>
      </c>
      <c r="K16" s="166">
        <f>Biomet_mittes!L98+Bioet_mittes!L79</f>
        <v>0</v>
      </c>
    </row>
    <row r="17" spans="2:22" x14ac:dyDescent="0.3">
      <c r="B17" s="184" t="s">
        <v>190</v>
      </c>
      <c r="C17" s="92" t="s">
        <v>181</v>
      </c>
      <c r="D17" s="166">
        <f>Biomet_mittes!E99+Bioet_mittes!E80</f>
        <v>0</v>
      </c>
      <c r="E17" s="166">
        <f>Biomet_mittes!F99+Bioet_mittes!F80</f>
        <v>0</v>
      </c>
      <c r="F17" s="166">
        <f>Biomet_mittes!G99+Bioet_mittes!G80</f>
        <v>0</v>
      </c>
      <c r="G17" s="166">
        <f>Biomet_mittes!H99+Bioet_mittes!H80</f>
        <v>0</v>
      </c>
      <c r="H17" s="166">
        <f>Biomet_mittes!I99+Bioet_mittes!I80</f>
        <v>0</v>
      </c>
      <c r="I17" s="166">
        <f>Biomet_mittes!J99+Bioet_mittes!J80</f>
        <v>0</v>
      </c>
      <c r="J17" s="166">
        <f>Biomet_mittes!K99+Bioet_mittes!K80</f>
        <v>0</v>
      </c>
      <c r="K17" s="166">
        <f>Biomet_mittes!L99+Bioet_mittes!L80</f>
        <v>0</v>
      </c>
    </row>
    <row r="18" spans="2:22" x14ac:dyDescent="0.3">
      <c r="B18" s="184" t="s">
        <v>192</v>
      </c>
      <c r="C18" s="92" t="s">
        <v>181</v>
      </c>
      <c r="D18" s="166">
        <f>Biomet_mittes!E100+Bioet_mittes!E81</f>
        <v>0</v>
      </c>
      <c r="E18" s="166">
        <f>Biomet_mittes!F100+Bioet_mittes!F81</f>
        <v>0</v>
      </c>
      <c r="F18" s="166">
        <f>Biomet_mittes!G100+Bioet_mittes!G81</f>
        <v>0</v>
      </c>
      <c r="G18" s="166">
        <f>Biomet_mittes!H100+Bioet_mittes!H81</f>
        <v>0</v>
      </c>
      <c r="H18" s="166">
        <f>Biomet_mittes!I100+Bioet_mittes!I81</f>
        <v>0</v>
      </c>
      <c r="I18" s="166">
        <f>Biomet_mittes!J100+Bioet_mittes!J81</f>
        <v>0</v>
      </c>
      <c r="J18" s="166">
        <f>Biomet_mittes!K100+Bioet_mittes!K81</f>
        <v>0</v>
      </c>
      <c r="K18" s="166">
        <f>Biomet_mittes!L100+Bioet_mittes!L81</f>
        <v>0</v>
      </c>
    </row>
    <row r="19" spans="2:22" x14ac:dyDescent="0.3">
      <c r="B19" s="184" t="s">
        <v>193</v>
      </c>
      <c r="C19" s="92" t="s">
        <v>181</v>
      </c>
      <c r="D19" s="166">
        <f>Biomet_mittes!E101+Bioet_mittes!E82</f>
        <v>0</v>
      </c>
      <c r="E19" s="166">
        <f>Biomet_mittes!F101+Bioet_mittes!F82</f>
        <v>0</v>
      </c>
      <c r="F19" s="166">
        <f>Biomet_mittes!G101+Bioet_mittes!G82</f>
        <v>0</v>
      </c>
      <c r="G19" s="166">
        <f>Biomet_mittes!H101+Bioet_mittes!H82</f>
        <v>0</v>
      </c>
      <c r="H19" s="166">
        <f>Biomet_mittes!I101+Bioet_mittes!I82</f>
        <v>0</v>
      </c>
      <c r="I19" s="166">
        <f>Biomet_mittes!J101+Bioet_mittes!J82</f>
        <v>0</v>
      </c>
      <c r="J19" s="166">
        <f>Biomet_mittes!K101+Bioet_mittes!K82</f>
        <v>0</v>
      </c>
      <c r="K19" s="166">
        <f>Biomet_mittes!L101+Bioet_mittes!L82</f>
        <v>0</v>
      </c>
    </row>
    <row r="20" spans="2:22" x14ac:dyDescent="0.3">
      <c r="B20" s="184" t="s">
        <v>194</v>
      </c>
      <c r="C20" s="92" t="s">
        <v>181</v>
      </c>
      <c r="D20" s="166">
        <f>Biomet_mittes!E102+Bioet_mittes!E83</f>
        <v>0</v>
      </c>
      <c r="E20" s="166">
        <f>Biomet_mittes!F102+Bioet_mittes!F83</f>
        <v>0</v>
      </c>
      <c r="F20" s="166">
        <f>Biomet_mittes!G102+Bioet_mittes!G83</f>
        <v>0</v>
      </c>
      <c r="G20" s="166">
        <f>Biomet_mittes!H102+Bioet_mittes!H83</f>
        <v>0</v>
      </c>
      <c r="H20" s="166">
        <f>Biomet_mittes!I102+Bioet_mittes!I83</f>
        <v>0</v>
      </c>
      <c r="I20" s="166">
        <f>Biomet_mittes!J102+Bioet_mittes!J83</f>
        <v>0</v>
      </c>
      <c r="J20" s="166">
        <f>Biomet_mittes!K102+Bioet_mittes!K83</f>
        <v>0</v>
      </c>
      <c r="K20" s="166">
        <f>Biomet_mittes!L102+Bioet_mittes!L83</f>
        <v>0</v>
      </c>
    </row>
    <row r="21" spans="2:22" x14ac:dyDescent="0.3">
      <c r="B21" s="182" t="s">
        <v>730</v>
      </c>
      <c r="C21" s="92" t="s">
        <v>181</v>
      </c>
      <c r="D21" s="166"/>
      <c r="E21" s="166"/>
      <c r="F21" s="166"/>
      <c r="G21" s="166"/>
      <c r="H21" s="166"/>
      <c r="I21" s="166"/>
      <c r="J21" s="166"/>
      <c r="K21" s="166"/>
      <c r="L21" s="240" t="s">
        <v>644</v>
      </c>
    </row>
    <row r="22" spans="2:22" x14ac:dyDescent="0.3">
      <c r="B22" s="183" t="s">
        <v>594</v>
      </c>
      <c r="C22" s="92" t="s">
        <v>181</v>
      </c>
      <c r="D22" s="166">
        <f>Biomet_mittes!E104+Bioet_mittes!E85</f>
        <v>0</v>
      </c>
      <c r="E22" s="166">
        <f>Biomet_mittes!F104+Bioet_mittes!F85</f>
        <v>0</v>
      </c>
      <c r="F22" s="166">
        <f>Biomet_mittes!G104+Bioet_mittes!G85</f>
        <v>0</v>
      </c>
      <c r="G22" s="166">
        <f>Biomet_mittes!H104+Bioet_mittes!H85</f>
        <v>0</v>
      </c>
      <c r="H22" s="166">
        <f>Biomet_mittes!I104+Bioet_mittes!I85</f>
        <v>0</v>
      </c>
      <c r="I22" s="166">
        <f>Biomet_mittes!J104+Bioet_mittes!J85</f>
        <v>0</v>
      </c>
      <c r="J22" s="166">
        <f>Biomet_mittes!K104+Bioet_mittes!K85</f>
        <v>0</v>
      </c>
      <c r="K22" s="166">
        <f>Biomet_mittes!L104+Bioet_mittes!L85</f>
        <v>0</v>
      </c>
    </row>
    <row r="23" spans="2:22" x14ac:dyDescent="0.3">
      <c r="B23" s="183" t="s">
        <v>195</v>
      </c>
      <c r="C23" s="92"/>
      <c r="D23" s="166">
        <f>Biomet_mittes!E105+Bioet_mittes!E86</f>
        <v>0</v>
      </c>
      <c r="E23" s="166">
        <f>Biomet_mittes!F105+Bioet_mittes!F86</f>
        <v>0</v>
      </c>
      <c r="F23" s="166">
        <f>Biomet_mittes!G105+Bioet_mittes!G86</f>
        <v>0</v>
      </c>
      <c r="G23" s="166">
        <f>Biomet_mittes!H105+Bioet_mittes!H86</f>
        <v>0</v>
      </c>
      <c r="H23" s="166">
        <f>Biomet_mittes!I105+Bioet_mittes!I86</f>
        <v>0</v>
      </c>
      <c r="I23" s="166">
        <f>Biomet_mittes!J105+Bioet_mittes!J86</f>
        <v>0</v>
      </c>
      <c r="J23" s="166">
        <f>Biomet_mittes!K105+Bioet_mittes!K86</f>
        <v>0</v>
      </c>
      <c r="K23" s="166">
        <f>Biomet_mittes!L105+Bioet_mittes!L86</f>
        <v>0</v>
      </c>
    </row>
    <row r="24" spans="2:22" x14ac:dyDescent="0.3">
      <c r="B24" s="184" t="s">
        <v>595</v>
      </c>
      <c r="C24" s="92" t="s">
        <v>196</v>
      </c>
      <c r="D24" s="166">
        <f>Biomet_mittes!E106+Bioet_mittes!E87</f>
        <v>0</v>
      </c>
      <c r="E24" s="166">
        <f>Biomet_mittes!F106+Bioet_mittes!F87</f>
        <v>0</v>
      </c>
      <c r="F24" s="166">
        <f>Biomet_mittes!G106+Bioet_mittes!G87</f>
        <v>0</v>
      </c>
      <c r="G24" s="166">
        <f>Biomet_mittes!H106+Bioet_mittes!H87</f>
        <v>0</v>
      </c>
      <c r="H24" s="166">
        <f>Biomet_mittes!I106+Bioet_mittes!I87</f>
        <v>0</v>
      </c>
      <c r="I24" s="166">
        <f>Biomet_mittes!J106+Bioet_mittes!J87</f>
        <v>0</v>
      </c>
      <c r="J24" s="166">
        <f>Biomet_mittes!K106+Bioet_mittes!K87</f>
        <v>0</v>
      </c>
      <c r="K24" s="166">
        <f>Biomet_mittes!L106+Bioet_mittes!L87</f>
        <v>0</v>
      </c>
    </row>
    <row r="25" spans="2:22" x14ac:dyDescent="0.3">
      <c r="B25" s="184" t="s">
        <v>596</v>
      </c>
      <c r="C25" s="92" t="s">
        <v>65</v>
      </c>
      <c r="D25" s="166">
        <f>Biomet_mittes!E107+Bioet_mittes!E88</f>
        <v>36</v>
      </c>
      <c r="E25" s="166">
        <f>Biomet_mittes!F107+Bioet_mittes!F88</f>
        <v>8280</v>
      </c>
      <c r="F25" s="166">
        <f>Biomet_mittes!G107+Bioet_mittes!G88</f>
        <v>9900</v>
      </c>
      <c r="G25" s="166">
        <f>Biomet_mittes!H107+Bioet_mittes!H88</f>
        <v>15408</v>
      </c>
      <c r="H25" s="166">
        <f>Biomet_mittes!I107+Bioet_mittes!I88</f>
        <v>16740</v>
      </c>
      <c r="I25" s="166">
        <f>Biomet_mittes!J107+Bioet_mittes!J88</f>
        <v>17604</v>
      </c>
      <c r="J25" s="166">
        <f>Biomet_mittes!K107+Bioet_mittes!K88</f>
        <v>18540</v>
      </c>
      <c r="K25" s="166">
        <f>Biomet_mittes!L107+Bioet_mittes!L88</f>
        <v>19288.800000000003</v>
      </c>
    </row>
    <row r="26" spans="2:22" x14ac:dyDescent="0.3">
      <c r="B26" s="183" t="s">
        <v>598</v>
      </c>
      <c r="C26" s="92" t="s">
        <v>235</v>
      </c>
      <c r="D26" s="166">
        <f>Biomet_mittes!E108+Bioet_mittes!E89</f>
        <v>0</v>
      </c>
      <c r="E26" s="166">
        <f>Biomet_mittes!F108+Bioet_mittes!F89</f>
        <v>0</v>
      </c>
      <c r="F26" s="166">
        <f>Biomet_mittes!G108+Bioet_mittes!G89</f>
        <v>0</v>
      </c>
      <c r="G26" s="166">
        <f>Biomet_mittes!H108+Bioet_mittes!H89</f>
        <v>0</v>
      </c>
      <c r="H26" s="166">
        <f>Biomet_mittes!I108+Bioet_mittes!I89</f>
        <v>0</v>
      </c>
      <c r="I26" s="166">
        <f>Biomet_mittes!J108+Bioet_mittes!J89</f>
        <v>0</v>
      </c>
      <c r="J26" s="166">
        <f>Biomet_mittes!K108+Bioet_mittes!K89</f>
        <v>0</v>
      </c>
      <c r="K26" s="166">
        <f>Biomet_mittes!L108+Bioet_mittes!L89</f>
        <v>0</v>
      </c>
    </row>
    <row r="28" spans="2:22" x14ac:dyDescent="0.3">
      <c r="B28" s="231" t="s">
        <v>646</v>
      </c>
      <c r="C28" s="232"/>
      <c r="D28" s="232"/>
      <c r="E28" s="232"/>
      <c r="F28" s="232"/>
      <c r="G28" s="232"/>
      <c r="H28" s="232"/>
      <c r="I28" s="232"/>
      <c r="J28" s="232"/>
      <c r="K28" s="232"/>
      <c r="M28" s="231" t="s">
        <v>642</v>
      </c>
      <c r="N28" s="232"/>
      <c r="O28" s="232"/>
      <c r="P28" s="232"/>
      <c r="Q28" s="232"/>
      <c r="R28" s="232"/>
      <c r="S28" s="232"/>
      <c r="T28" s="232"/>
      <c r="U28" s="232"/>
      <c r="V28" s="232"/>
    </row>
    <row r="29" spans="2:22" x14ac:dyDescent="0.3">
      <c r="B29" s="181"/>
      <c r="C29" s="90" t="s">
        <v>143</v>
      </c>
      <c r="D29" s="90">
        <v>2015</v>
      </c>
      <c r="E29" s="90">
        <v>2020</v>
      </c>
      <c r="F29" s="90">
        <v>2025</v>
      </c>
      <c r="G29" s="90">
        <v>2030</v>
      </c>
      <c r="H29" s="90">
        <v>2035</v>
      </c>
      <c r="I29" s="90">
        <v>2040</v>
      </c>
      <c r="J29" s="90">
        <v>2045</v>
      </c>
      <c r="K29" s="90">
        <v>2050</v>
      </c>
      <c r="M29" s="181"/>
      <c r="N29" s="90" t="s">
        <v>143</v>
      </c>
      <c r="O29" s="90">
        <v>2015</v>
      </c>
      <c r="P29" s="90">
        <v>2020</v>
      </c>
      <c r="Q29" s="90">
        <v>2025</v>
      </c>
      <c r="R29" s="90">
        <v>2030</v>
      </c>
      <c r="S29" s="90">
        <v>2035</v>
      </c>
      <c r="T29" s="90">
        <v>2040</v>
      </c>
      <c r="U29" s="90">
        <v>2045</v>
      </c>
      <c r="V29" s="90">
        <v>2050</v>
      </c>
    </row>
    <row r="30" spans="2:22" x14ac:dyDescent="0.3">
      <c r="B30" s="182" t="s">
        <v>609</v>
      </c>
      <c r="C30" s="92" t="s">
        <v>65</v>
      </c>
      <c r="D30" s="166">
        <f t="shared" ref="D30:K31" si="0">O30-D6</f>
        <v>-157.57843840154314</v>
      </c>
      <c r="E30" s="166">
        <f t="shared" si="0"/>
        <v>-695.16574868795828</v>
      </c>
      <c r="F30" s="166">
        <f t="shared" si="0"/>
        <v>-606.75980261328777</v>
      </c>
      <c r="G30" s="166">
        <f t="shared" si="0"/>
        <v>-747.41027436943432</v>
      </c>
      <c r="H30" s="166">
        <f t="shared" si="0"/>
        <v>-1174.9420395933921</v>
      </c>
      <c r="I30" s="166">
        <f t="shared" si="0"/>
        <v>-1437.0441697173151</v>
      </c>
      <c r="J30" s="166">
        <f t="shared" si="0"/>
        <v>-1746.2502264254672</v>
      </c>
      <c r="K30" s="166">
        <f t="shared" si="0"/>
        <v>-1945.9780021097731</v>
      </c>
      <c r="M30" s="182" t="s">
        <v>609</v>
      </c>
      <c r="N30" s="92" t="s">
        <v>65</v>
      </c>
      <c r="O30" s="166">
        <f>Biomet_vähes!E93+Bioet_vähes!E70</f>
        <v>224.18225798315322</v>
      </c>
      <c r="P30" s="166">
        <f>Biomet_vähes!F93+Bioet_vähes!F70</f>
        <v>1277.2645159663064</v>
      </c>
      <c r="Q30" s="166">
        <f>Biomet_vähes!G93+Bioet_vähes!G70</f>
        <v>1938.3115066180212</v>
      </c>
      <c r="R30" s="166">
        <f>Biomet_vähes!H93+Bioet_vähes!H70</f>
        <v>2599.3584972697372</v>
      </c>
      <c r="S30" s="166">
        <f>Biomet_vähes!I93+Bioet_vähes!I70</f>
        <v>2642.6649242535718</v>
      </c>
      <c r="T30" s="166">
        <f>Biomet_vähes!J93+Bioet_vähes!J70</f>
        <v>2685.971351237406</v>
      </c>
      <c r="U30" s="166">
        <f>Biomet_vähes!K93+Bioet_vähes!K70</f>
        <v>2707.6245647293235</v>
      </c>
      <c r="V30" s="166">
        <f>Biomet_vähes!L93+Bioet_vähes!L70</f>
        <v>2772.5842052050748</v>
      </c>
    </row>
    <row r="31" spans="2:22" x14ac:dyDescent="0.3">
      <c r="B31" s="183" t="s">
        <v>610</v>
      </c>
      <c r="C31" s="92" t="s">
        <v>181</v>
      </c>
      <c r="D31" s="92">
        <f t="shared" si="0"/>
        <v>15.201096651983324</v>
      </c>
      <c r="E31" s="92">
        <f t="shared" si="0"/>
        <v>158.08174643751107</v>
      </c>
      <c r="F31" s="92">
        <f t="shared" si="0"/>
        <v>163.93063148747922</v>
      </c>
      <c r="G31" s="92">
        <f t="shared" si="0"/>
        <v>214.95026630196432</v>
      </c>
      <c r="H31" s="92">
        <f t="shared" si="0"/>
        <v>225.58178041820497</v>
      </c>
      <c r="I31" s="92">
        <f t="shared" si="0"/>
        <v>236.6862680803419</v>
      </c>
      <c r="J31" s="92">
        <f t="shared" si="0"/>
        <v>246.66951418228183</v>
      </c>
      <c r="K31" s="92">
        <f t="shared" si="0"/>
        <v>260.56770970532051</v>
      </c>
      <c r="M31" s="183" t="s">
        <v>610</v>
      </c>
      <c r="N31" s="92" t="s">
        <v>181</v>
      </c>
      <c r="O31" s="92">
        <f>Biomet_vähes!E94+Bioet_vähes!E71</f>
        <v>15.201096651983324</v>
      </c>
      <c r="P31" s="92">
        <f>Biomet_vähes!F94+Bioet_vähes!F71</f>
        <v>158.08174643751107</v>
      </c>
      <c r="Q31" s="92">
        <f>Biomet_vähes!G94+Bioet_vähes!G71</f>
        <v>163.93063148747922</v>
      </c>
      <c r="R31" s="92">
        <f>Biomet_vähes!H94+Bioet_vähes!H71</f>
        <v>214.95026630196432</v>
      </c>
      <c r="S31" s="92">
        <f>Biomet_vähes!I94+Bioet_vähes!I71</f>
        <v>225.58178041820497</v>
      </c>
      <c r="T31" s="92">
        <f>Biomet_vähes!J94+Bioet_vähes!J71</f>
        <v>236.6862680803419</v>
      </c>
      <c r="U31" s="92">
        <f>Biomet_vähes!K94+Bioet_vähes!K71</f>
        <v>246.66951418228183</v>
      </c>
      <c r="V31" s="92">
        <f>Biomet_vähes!L94+Bioet_vähes!L71</f>
        <v>260.56770970532051</v>
      </c>
    </row>
    <row r="32" spans="2:22" x14ac:dyDescent="0.3">
      <c r="B32" s="184" t="s">
        <v>736</v>
      </c>
      <c r="C32" s="92" t="s">
        <v>181</v>
      </c>
      <c r="D32" s="92">
        <f>O32-D8</f>
        <v>2.6425458945297282</v>
      </c>
      <c r="E32" s="92">
        <f t="shared" ref="E32:K37" si="1">P32-E8</f>
        <v>17.550242473990963</v>
      </c>
      <c r="F32" s="92">
        <f t="shared" si="1"/>
        <v>25.34232658873475</v>
      </c>
      <c r="G32" s="92">
        <f t="shared" si="1"/>
        <v>33.134410703478537</v>
      </c>
      <c r="H32" s="92">
        <f t="shared" si="1"/>
        <v>33.64488473412856</v>
      </c>
      <c r="I32" s="92">
        <f t="shared" si="1"/>
        <v>34.155358764778583</v>
      </c>
      <c r="J32" s="92">
        <f t="shared" si="1"/>
        <v>34.410595780103598</v>
      </c>
      <c r="K32" s="92">
        <f t="shared" si="1"/>
        <v>35.176306826078623</v>
      </c>
      <c r="M32" s="184" t="s">
        <v>736</v>
      </c>
      <c r="N32" s="92" t="s">
        <v>181</v>
      </c>
      <c r="O32" s="92">
        <f>Biomet_vähes!E95+Bioet_vähes!E72</f>
        <v>2.6425458945297282</v>
      </c>
      <c r="P32" s="92">
        <f>Biomet_vähes!F95+Bioet_vähes!F72</f>
        <v>17.550242473990963</v>
      </c>
      <c r="Q32" s="92">
        <f>Biomet_vähes!G95+Bioet_vähes!G72</f>
        <v>25.34232658873475</v>
      </c>
      <c r="R32" s="92">
        <f>Biomet_vähes!H95+Bioet_vähes!H72</f>
        <v>33.134410703478537</v>
      </c>
      <c r="S32" s="92">
        <f>Biomet_vähes!I95+Bioet_vähes!I72</f>
        <v>33.64488473412856</v>
      </c>
      <c r="T32" s="92">
        <f>Biomet_vähes!J95+Bioet_vähes!J72</f>
        <v>34.155358764778583</v>
      </c>
      <c r="U32" s="92">
        <f>Biomet_vähes!K95+Bioet_vähes!K72</f>
        <v>34.410595780103598</v>
      </c>
      <c r="V32" s="92">
        <f>Biomet_vähes!L95+Bioet_vähes!L72</f>
        <v>35.176306826078623</v>
      </c>
    </row>
    <row r="33" spans="2:22" x14ac:dyDescent="0.3">
      <c r="B33" s="184" t="s">
        <v>590</v>
      </c>
      <c r="C33" s="92" t="s">
        <v>181</v>
      </c>
      <c r="D33" s="92">
        <f t="shared" ref="D33:D37" si="2">O33-D9</f>
        <v>2.4663761682277463</v>
      </c>
      <c r="E33" s="92">
        <f t="shared" si="1"/>
        <v>42.099875624126724</v>
      </c>
      <c r="F33" s="92">
        <f t="shared" si="1"/>
        <v>49.372487464554254</v>
      </c>
      <c r="G33" s="92">
        <f t="shared" si="1"/>
        <v>56.645099304981798</v>
      </c>
      <c r="H33" s="92">
        <f t="shared" si="1"/>
        <v>57.121541733588487</v>
      </c>
      <c r="I33" s="92">
        <f t="shared" si="1"/>
        <v>57.597984162195168</v>
      </c>
      <c r="J33" s="92">
        <f t="shared" si="1"/>
        <v>57.836205376498512</v>
      </c>
      <c r="K33" s="92">
        <f t="shared" si="1"/>
        <v>58.550869019408537</v>
      </c>
      <c r="M33" s="184" t="s">
        <v>590</v>
      </c>
      <c r="N33" s="92" t="s">
        <v>181</v>
      </c>
      <c r="O33" s="92">
        <f>Biomet_vähes!E96+Bioet_vähes!E73</f>
        <v>2.4663761682277463</v>
      </c>
      <c r="P33" s="92">
        <f>Biomet_vähes!F96+Bioet_vähes!F73</f>
        <v>42.099875624126724</v>
      </c>
      <c r="Q33" s="92">
        <f>Biomet_vähes!G96+Bioet_vähes!G73</f>
        <v>49.372487464554254</v>
      </c>
      <c r="R33" s="92">
        <f>Biomet_vähes!H96+Bioet_vähes!H73</f>
        <v>56.645099304981798</v>
      </c>
      <c r="S33" s="92">
        <f>Biomet_vähes!I96+Bioet_vähes!I73</f>
        <v>57.121541733588487</v>
      </c>
      <c r="T33" s="92">
        <f>Biomet_vähes!J96+Bioet_vähes!J73</f>
        <v>57.597984162195168</v>
      </c>
      <c r="U33" s="92">
        <f>Biomet_vähes!K96+Bioet_vähes!K73</f>
        <v>57.836205376498512</v>
      </c>
      <c r="V33" s="92">
        <f>Biomet_vähes!L96+Bioet_vähes!L73</f>
        <v>58.550869019408537</v>
      </c>
    </row>
    <row r="34" spans="2:22" x14ac:dyDescent="0.3">
      <c r="B34" s="184" t="s">
        <v>737</v>
      </c>
      <c r="C34" s="92" t="s">
        <v>181</v>
      </c>
      <c r="D34" s="92">
        <f t="shared" si="2"/>
        <v>3.1710550734356735</v>
      </c>
      <c r="E34" s="92">
        <f t="shared" si="1"/>
        <v>24.739836174268603</v>
      </c>
      <c r="F34" s="92">
        <f t="shared" si="1"/>
        <v>34.090337111961148</v>
      </c>
      <c r="G34" s="92">
        <f t="shared" si="1"/>
        <v>43.440838049653692</v>
      </c>
      <c r="H34" s="92">
        <f t="shared" si="1"/>
        <v>44.05340688643372</v>
      </c>
      <c r="I34" s="92">
        <f t="shared" si="1"/>
        <v>44.665975723213748</v>
      </c>
      <c r="J34" s="92">
        <f t="shared" si="1"/>
        <v>44.972260141603762</v>
      </c>
      <c r="K34" s="92">
        <f t="shared" si="1"/>
        <v>45.891113396773797</v>
      </c>
      <c r="M34" s="184" t="s">
        <v>737</v>
      </c>
      <c r="N34" s="92" t="s">
        <v>181</v>
      </c>
      <c r="O34" s="92">
        <f>Biomet_vähes!E97+Bioet_vähes!E74</f>
        <v>3.1710550734356735</v>
      </c>
      <c r="P34" s="92">
        <f>Biomet_vähes!F97+Bioet_vähes!F74</f>
        <v>24.739836174268603</v>
      </c>
      <c r="Q34" s="92">
        <f>Biomet_vähes!G97+Bioet_vähes!G74</f>
        <v>34.090337111961148</v>
      </c>
      <c r="R34" s="92">
        <f>Biomet_vähes!H97+Bioet_vähes!H74</f>
        <v>43.440838049653692</v>
      </c>
      <c r="S34" s="92">
        <f>Biomet_vähes!I97+Bioet_vähes!I74</f>
        <v>44.05340688643372</v>
      </c>
      <c r="T34" s="92">
        <f>Biomet_vähes!J97+Bioet_vähes!J74</f>
        <v>44.665975723213748</v>
      </c>
      <c r="U34" s="92">
        <f>Biomet_vähes!K97+Bioet_vähes!K74</f>
        <v>44.972260141603762</v>
      </c>
      <c r="V34" s="92">
        <f>Biomet_vähes!L97+Bioet_vähes!L74</f>
        <v>45.891113396773797</v>
      </c>
    </row>
    <row r="35" spans="2:22" x14ac:dyDescent="0.3">
      <c r="B35" s="184" t="s">
        <v>738</v>
      </c>
      <c r="C35" s="92" t="s">
        <v>181</v>
      </c>
      <c r="D35" s="92">
        <f t="shared" si="2"/>
        <v>2.8187156208317101</v>
      </c>
      <c r="E35" s="92">
        <f t="shared" si="1"/>
        <v>10.03743124166342</v>
      </c>
      <c r="F35" s="92">
        <f t="shared" si="1"/>
        <v>18.348987630723457</v>
      </c>
      <c r="G35" s="92">
        <f t="shared" si="1"/>
        <v>26.660544019783501</v>
      </c>
      <c r="H35" s="92">
        <f t="shared" si="1"/>
        <v>27.205049652476859</v>
      </c>
      <c r="I35" s="92">
        <f t="shared" si="1"/>
        <v>27.749555285170217</v>
      </c>
      <c r="J35" s="92">
        <f t="shared" si="1"/>
        <v>28.021808101516896</v>
      </c>
      <c r="K35" s="92">
        <f>V35-K11</f>
        <v>28.838566550556926</v>
      </c>
      <c r="M35" s="184" t="s">
        <v>738</v>
      </c>
      <c r="N35" s="92" t="s">
        <v>181</v>
      </c>
      <c r="O35" s="92">
        <f>Biomet_vähes!E98+Bioet_vähes!E75</f>
        <v>2.8187156208317101</v>
      </c>
      <c r="P35" s="92">
        <f>Biomet_vähes!F98+Bioet_vähes!F75</f>
        <v>10.03743124166342</v>
      </c>
      <c r="Q35" s="92">
        <f>Biomet_vähes!G98+Bioet_vähes!G75</f>
        <v>18.348987630723457</v>
      </c>
      <c r="R35" s="92">
        <f>Biomet_vähes!H98+Bioet_vähes!H75</f>
        <v>26.660544019783501</v>
      </c>
      <c r="S35" s="92">
        <f>Biomet_vähes!I98+Bioet_vähes!I75</f>
        <v>27.205049652476859</v>
      </c>
      <c r="T35" s="92">
        <f>Biomet_vähes!J98+Bioet_vähes!J75</f>
        <v>27.749555285170217</v>
      </c>
      <c r="U35" s="92">
        <f>Biomet_vähes!K98+Bioet_vähes!K75</f>
        <v>28.021808101516896</v>
      </c>
      <c r="V35" s="92">
        <f>Biomet_vähes!L98+Bioet_vähes!L75</f>
        <v>28.838566550556926</v>
      </c>
    </row>
    <row r="36" spans="2:22" x14ac:dyDescent="0.3">
      <c r="B36" s="184" t="s">
        <v>628</v>
      </c>
      <c r="C36" s="92" t="s">
        <v>181</v>
      </c>
      <c r="D36" s="92">
        <f t="shared" si="2"/>
        <v>1.2331880841138732</v>
      </c>
      <c r="E36" s="92">
        <f t="shared" si="1"/>
        <v>3.3955542504195271</v>
      </c>
      <c r="F36" s="92">
        <f t="shared" si="1"/>
        <v>7.0318601706332933</v>
      </c>
      <c r="G36" s="92">
        <f t="shared" si="1"/>
        <v>10.668166090847064</v>
      </c>
      <c r="H36" s="92">
        <f t="shared" si="1"/>
        <v>10.906387305150409</v>
      </c>
      <c r="I36" s="92">
        <f t="shared" si="1"/>
        <v>11.144608519453749</v>
      </c>
      <c r="J36" s="92">
        <f t="shared" si="1"/>
        <v>11.263719126605423</v>
      </c>
      <c r="K36" s="92">
        <f t="shared" si="1"/>
        <v>11.621050948060436</v>
      </c>
      <c r="M36" s="184" t="s">
        <v>628</v>
      </c>
      <c r="N36" s="92" t="s">
        <v>181</v>
      </c>
      <c r="O36" s="92">
        <f>Biomet_vähes!E99+Bioet_vähes!E76</f>
        <v>1.2331880841138732</v>
      </c>
      <c r="P36" s="92">
        <f>Biomet_vähes!F99+Bioet_vähes!F76</f>
        <v>3.3955542504195271</v>
      </c>
      <c r="Q36" s="92">
        <f>Biomet_vähes!G99+Bioet_vähes!G76</f>
        <v>7.0318601706332933</v>
      </c>
      <c r="R36" s="92">
        <f>Biomet_vähes!H99+Bioet_vähes!H76</f>
        <v>10.668166090847064</v>
      </c>
      <c r="S36" s="92">
        <f>Biomet_vähes!I99+Bioet_vähes!I76</f>
        <v>10.906387305150409</v>
      </c>
      <c r="T36" s="92">
        <f>Biomet_vähes!J99+Bioet_vähes!J76</f>
        <v>11.144608519453749</v>
      </c>
      <c r="U36" s="92">
        <f>Biomet_vähes!K99+Bioet_vähes!K76</f>
        <v>11.263719126605423</v>
      </c>
      <c r="V36" s="92">
        <f>Biomet_vähes!L99+Bioet_vähes!L76</f>
        <v>11.621050948060436</v>
      </c>
    </row>
    <row r="37" spans="2:22" x14ac:dyDescent="0.3">
      <c r="B37" s="184" t="s">
        <v>631</v>
      </c>
      <c r="C37" s="92" t="s">
        <v>181</v>
      </c>
      <c r="D37" s="92">
        <f t="shared" si="2"/>
        <v>2.869215810844592</v>
      </c>
      <c r="E37" s="92">
        <f t="shared" si="1"/>
        <v>60.258806673041818</v>
      </c>
      <c r="F37" s="92">
        <f t="shared" si="1"/>
        <v>29.744632520872322</v>
      </c>
      <c r="G37" s="92">
        <f t="shared" si="1"/>
        <v>44.401208133219711</v>
      </c>
      <c r="H37" s="92">
        <f t="shared" si="1"/>
        <v>52.650510106426921</v>
      </c>
      <c r="I37" s="92">
        <f t="shared" si="1"/>
        <v>61.372785625530426</v>
      </c>
      <c r="J37" s="92">
        <f t="shared" si="1"/>
        <v>70.164925655953624</v>
      </c>
      <c r="K37" s="92">
        <f t="shared" si="1"/>
        <v>80.489802964442191</v>
      </c>
      <c r="M37" s="184" t="s">
        <v>631</v>
      </c>
      <c r="N37" s="92" t="s">
        <v>181</v>
      </c>
      <c r="O37" s="92">
        <f>Biomet_vähes!E100+Bioet_vähes!E77</f>
        <v>2.869215810844592</v>
      </c>
      <c r="P37" s="92">
        <f>Biomet_vähes!F100+Bioet_vähes!F77</f>
        <v>60.258806673041818</v>
      </c>
      <c r="Q37" s="92">
        <f>Biomet_vähes!G100+Bioet_vähes!G77</f>
        <v>29.744632520872322</v>
      </c>
      <c r="R37" s="92">
        <f>Biomet_vähes!H100+Bioet_vähes!H77</f>
        <v>44.401208133219711</v>
      </c>
      <c r="S37" s="92">
        <f>Biomet_vähes!I100+Bioet_vähes!I77</f>
        <v>52.650510106426921</v>
      </c>
      <c r="T37" s="92">
        <f>Biomet_vähes!J100+Bioet_vähes!J77</f>
        <v>61.372785625530426</v>
      </c>
      <c r="U37" s="92">
        <f>Biomet_vähes!K100+Bioet_vähes!K77</f>
        <v>70.164925655953624</v>
      </c>
      <c r="V37" s="92">
        <f>Biomet_vähes!L100+Bioet_vähes!L77</f>
        <v>80.489802964442191</v>
      </c>
    </row>
    <row r="38" spans="2:22" x14ac:dyDescent="0.3">
      <c r="B38" s="182" t="s">
        <v>597</v>
      </c>
      <c r="C38" s="92" t="s">
        <v>181</v>
      </c>
      <c r="D38" s="92">
        <f t="shared" ref="D38:D50" si="3">O38-D14</f>
        <v>0.92686314901004208</v>
      </c>
      <c r="E38" s="92">
        <f t="shared" ref="E38:E50" si="4">P38-E14</f>
        <v>28.653726298020086</v>
      </c>
      <c r="F38" s="92">
        <f t="shared" ref="F38:F50" si="5">Q38-F14</f>
        <v>31.386770834689457</v>
      </c>
      <c r="G38" s="92">
        <f t="shared" ref="G38:G50" si="6">R38-G14</f>
        <v>34.119815371358825</v>
      </c>
      <c r="H38" s="92">
        <f t="shared" ref="H38:H50" si="7">S38-H14</f>
        <v>34.298862239954587</v>
      </c>
      <c r="I38" s="92">
        <f t="shared" ref="I38:I50" si="8">T38-I14</f>
        <v>34.47790910855035</v>
      </c>
      <c r="J38" s="92">
        <f t="shared" ref="J38:J50" si="9">U38-J14</f>
        <v>34.567432542848231</v>
      </c>
      <c r="K38" s="92">
        <f t="shared" ref="K38:K50" si="10">V38-K14</f>
        <v>34.836002845741866</v>
      </c>
      <c r="M38" s="182" t="s">
        <v>597</v>
      </c>
      <c r="N38" s="92" t="s">
        <v>181</v>
      </c>
      <c r="O38" s="92">
        <f>Biomet_vähes!E101+Bioet_vähes!E78</f>
        <v>0.92686314901004208</v>
      </c>
      <c r="P38" s="92">
        <f>Biomet_vähes!F101+Bioet_vähes!F78</f>
        <v>28.653726298020086</v>
      </c>
      <c r="Q38" s="92">
        <f>Biomet_vähes!G101+Bioet_vähes!G78</f>
        <v>31.386770834689457</v>
      </c>
      <c r="R38" s="92">
        <f>Biomet_vähes!H101+Bioet_vähes!H78</f>
        <v>34.119815371358825</v>
      </c>
      <c r="S38" s="92">
        <f>Biomet_vähes!I101+Bioet_vähes!I78</f>
        <v>34.298862239954587</v>
      </c>
      <c r="T38" s="92">
        <f>Biomet_vähes!J101+Bioet_vähes!J78</f>
        <v>34.47790910855035</v>
      </c>
      <c r="U38" s="92">
        <f>Biomet_vähes!K101+Bioet_vähes!K78</f>
        <v>34.567432542848231</v>
      </c>
      <c r="V38" s="92">
        <f>Biomet_vähes!L101+Bioet_vähes!L78</f>
        <v>34.836002845741866</v>
      </c>
    </row>
    <row r="39" spans="2:22" x14ac:dyDescent="0.3">
      <c r="B39" s="183" t="s">
        <v>611</v>
      </c>
      <c r="C39" s="92" t="s">
        <v>181</v>
      </c>
      <c r="D39" s="92">
        <f t="shared" si="3"/>
        <v>8.4713714067434509</v>
      </c>
      <c r="E39" s="92">
        <f t="shared" si="4"/>
        <v>87.928020139490982</v>
      </c>
      <c r="F39" s="92">
        <f t="shared" si="5"/>
        <v>132.54386065278976</v>
      </c>
      <c r="G39" s="92">
        <f t="shared" si="6"/>
        <v>180.83045093060548</v>
      </c>
      <c r="H39" s="92">
        <f t="shared" si="7"/>
        <v>191.28291817825038</v>
      </c>
      <c r="I39" s="92">
        <f t="shared" si="8"/>
        <v>202.20835897179154</v>
      </c>
      <c r="J39" s="92">
        <f t="shared" si="9"/>
        <v>212.10208163943358</v>
      </c>
      <c r="K39" s="92">
        <f t="shared" si="10"/>
        <v>225.73170685957865</v>
      </c>
      <c r="M39" s="183" t="s">
        <v>611</v>
      </c>
      <c r="N39" s="92" t="s">
        <v>181</v>
      </c>
      <c r="O39" s="92">
        <f>Biomet_vähes!E102+Bioet_vähes!E79</f>
        <v>8.4713714067434509</v>
      </c>
      <c r="P39" s="92">
        <f>Biomet_vähes!F102+Bioet_vähes!F79</f>
        <v>87.928020139490982</v>
      </c>
      <c r="Q39" s="92">
        <f>Biomet_vähes!G102+Bioet_vähes!G79</f>
        <v>132.54386065278976</v>
      </c>
      <c r="R39" s="92">
        <f>Biomet_vähes!H102+Bioet_vähes!H79</f>
        <v>180.83045093060548</v>
      </c>
      <c r="S39" s="92">
        <f>Biomet_vähes!I102+Bioet_vähes!I79</f>
        <v>191.28291817825038</v>
      </c>
      <c r="T39" s="92">
        <f>Biomet_vähes!J102+Bioet_vähes!J79</f>
        <v>202.20835897179154</v>
      </c>
      <c r="U39" s="92">
        <f>Biomet_vähes!K102+Bioet_vähes!K79</f>
        <v>212.10208163943358</v>
      </c>
      <c r="V39" s="92">
        <f>Biomet_vähes!L102+Bioet_vähes!L79</f>
        <v>225.73170685957865</v>
      </c>
    </row>
    <row r="40" spans="2:22" x14ac:dyDescent="0.3">
      <c r="B40" s="183" t="s">
        <v>189</v>
      </c>
      <c r="C40" s="92" t="s">
        <v>181</v>
      </c>
      <c r="D40" s="92">
        <f t="shared" si="3"/>
        <v>75.536971747629423</v>
      </c>
      <c r="E40" s="92">
        <f t="shared" si="4"/>
        <v>104.01654878371392</v>
      </c>
      <c r="F40" s="92">
        <f t="shared" si="5"/>
        <v>47.228052163236363</v>
      </c>
      <c r="G40" s="92">
        <f t="shared" si="6"/>
        <v>47.228052163236406</v>
      </c>
      <c r="H40" s="92">
        <f t="shared" si="7"/>
        <v>2.753682169588699</v>
      </c>
      <c r="I40" s="92">
        <f t="shared" si="8"/>
        <v>2.753682169588676</v>
      </c>
      <c r="J40" s="92">
        <f t="shared" si="9"/>
        <v>1.3768410847943606</v>
      </c>
      <c r="K40" s="92">
        <f t="shared" si="10"/>
        <v>4.1305232543830144</v>
      </c>
      <c r="M40" s="183" t="s">
        <v>189</v>
      </c>
      <c r="N40" s="92" t="s">
        <v>181</v>
      </c>
      <c r="O40" s="92">
        <f>Biomet_vähes!E103+Bioet_vähes!E80</f>
        <v>75.536971747629423</v>
      </c>
      <c r="P40" s="92">
        <f>Biomet_vähes!F103+Bioet_vähes!F80</f>
        <v>104.01654878371392</v>
      </c>
      <c r="Q40" s="92">
        <f>Biomet_vähes!G103+Bioet_vähes!G80</f>
        <v>47.228052163236363</v>
      </c>
      <c r="R40" s="92">
        <f>Biomet_vähes!H103+Bioet_vähes!H80</f>
        <v>47.228052163236406</v>
      </c>
      <c r="S40" s="92">
        <f>Biomet_vähes!I103+Bioet_vähes!I80</f>
        <v>2.753682169588699</v>
      </c>
      <c r="T40" s="92">
        <f>Biomet_vähes!J103+Bioet_vähes!J80</f>
        <v>2.753682169588676</v>
      </c>
      <c r="U40" s="92">
        <f>Biomet_vähes!K103+Bioet_vähes!K80</f>
        <v>1.3768410847943606</v>
      </c>
      <c r="V40" s="92">
        <f>Biomet_vähes!L103+Bioet_vähes!L80</f>
        <v>4.1305232543830144</v>
      </c>
    </row>
    <row r="41" spans="2:22" x14ac:dyDescent="0.3">
      <c r="B41" s="184" t="s">
        <v>190</v>
      </c>
      <c r="C41" s="92" t="s">
        <v>181</v>
      </c>
      <c r="D41" s="92">
        <f t="shared" si="3"/>
        <v>14.097706643679102</v>
      </c>
      <c r="E41" s="92">
        <f t="shared" si="4"/>
        <v>22.079219728735819</v>
      </c>
      <c r="F41" s="92">
        <f t="shared" si="5"/>
        <v>8.8143224350342795</v>
      </c>
      <c r="G41" s="92">
        <f t="shared" si="6"/>
        <v>8.8143224350342866</v>
      </c>
      <c r="H41" s="92">
        <f t="shared" si="7"/>
        <v>0.57744277841497937</v>
      </c>
      <c r="I41" s="92">
        <f t="shared" si="8"/>
        <v>0.5774427784149746</v>
      </c>
      <c r="J41" s="92">
        <f t="shared" si="9"/>
        <v>0.28872138920749213</v>
      </c>
      <c r="K41" s="92">
        <f t="shared" si="10"/>
        <v>0.86616416762246196</v>
      </c>
      <c r="M41" s="184" t="s">
        <v>190</v>
      </c>
      <c r="N41" s="92" t="s">
        <v>181</v>
      </c>
      <c r="O41" s="92">
        <f>Biomet_vähes!E104+Bioet_vähes!E81</f>
        <v>14.097706643679102</v>
      </c>
      <c r="P41" s="92">
        <f>Biomet_vähes!F104+Bioet_vähes!F81</f>
        <v>22.079219728735819</v>
      </c>
      <c r="Q41" s="92">
        <f>Biomet_vähes!G104+Bioet_vähes!G81</f>
        <v>8.8143224350342795</v>
      </c>
      <c r="R41" s="92">
        <f>Biomet_vähes!H104+Bioet_vähes!H81</f>
        <v>8.8143224350342866</v>
      </c>
      <c r="S41" s="92">
        <f>Biomet_vähes!I104+Bioet_vähes!I81</f>
        <v>0.57744277841497937</v>
      </c>
      <c r="T41" s="92">
        <f>Biomet_vähes!J104+Bioet_vähes!J81</f>
        <v>0.5774427784149746</v>
      </c>
      <c r="U41" s="92">
        <f>Biomet_vähes!K104+Bioet_vähes!K81</f>
        <v>0.28872138920749213</v>
      </c>
      <c r="V41" s="92">
        <f>Biomet_vähes!L104+Bioet_vähes!L81</f>
        <v>0.86616416762246196</v>
      </c>
    </row>
    <row r="42" spans="2:22" x14ac:dyDescent="0.3">
      <c r="B42" s="184" t="s">
        <v>192</v>
      </c>
      <c r="C42" s="92" t="s">
        <v>181</v>
      </c>
      <c r="D42" s="92">
        <f t="shared" si="3"/>
        <v>46.983493093527564</v>
      </c>
      <c r="E42" s="92">
        <f t="shared" si="4"/>
        <v>73.872186618705513</v>
      </c>
      <c r="F42" s="92">
        <f t="shared" si="5"/>
        <v>29.375533745854888</v>
      </c>
      <c r="G42" s="92">
        <f t="shared" si="6"/>
        <v>29.375533745854913</v>
      </c>
      <c r="H42" s="92">
        <f t="shared" si="7"/>
        <v>1.9244462576281358</v>
      </c>
      <c r="I42" s="92">
        <f t="shared" si="8"/>
        <v>1.9244462576281198</v>
      </c>
      <c r="J42" s="92">
        <f t="shared" si="9"/>
        <v>0.96222312881407579</v>
      </c>
      <c r="K42" s="92">
        <f t="shared" si="10"/>
        <v>2.88666938644218</v>
      </c>
      <c r="M42" s="184" t="s">
        <v>192</v>
      </c>
      <c r="N42" s="92" t="s">
        <v>181</v>
      </c>
      <c r="O42" s="92">
        <f>Biomet_vähes!E105+Bioet_vähes!E82</f>
        <v>46.983493093527564</v>
      </c>
      <c r="P42" s="92">
        <f>Biomet_vähes!F105+Bioet_vähes!F82</f>
        <v>73.872186618705513</v>
      </c>
      <c r="Q42" s="92">
        <f>Biomet_vähes!G105+Bioet_vähes!G82</f>
        <v>29.375533745854888</v>
      </c>
      <c r="R42" s="92">
        <f>Biomet_vähes!H105+Bioet_vähes!H82</f>
        <v>29.375533745854913</v>
      </c>
      <c r="S42" s="92">
        <f>Biomet_vähes!I105+Bioet_vähes!I82</f>
        <v>1.9244462576281358</v>
      </c>
      <c r="T42" s="92">
        <f>Biomet_vähes!J105+Bioet_vähes!J82</f>
        <v>1.9244462576281198</v>
      </c>
      <c r="U42" s="92">
        <f>Biomet_vähes!K105+Bioet_vähes!K82</f>
        <v>0.96222312881407579</v>
      </c>
      <c r="V42" s="92">
        <f>Biomet_vähes!L105+Bioet_vähes!L82</f>
        <v>2.88666938644218</v>
      </c>
    </row>
    <row r="43" spans="2:22" x14ac:dyDescent="0.3">
      <c r="B43" s="184" t="s">
        <v>193</v>
      </c>
      <c r="C43" s="92" t="s">
        <v>181</v>
      </c>
      <c r="D43" s="92">
        <f t="shared" si="3"/>
        <v>8.3084863150990937</v>
      </c>
      <c r="E43" s="92">
        <f t="shared" si="4"/>
        <v>6.7616972630198191</v>
      </c>
      <c r="F43" s="92">
        <f t="shared" si="5"/>
        <v>5.1947227431625231</v>
      </c>
      <c r="G43" s="92">
        <f t="shared" si="6"/>
        <v>5.1947227431625276</v>
      </c>
      <c r="H43" s="92">
        <f t="shared" si="7"/>
        <v>0</v>
      </c>
      <c r="I43" s="92">
        <f t="shared" si="8"/>
        <v>0</v>
      </c>
      <c r="J43" s="92">
        <f t="shared" si="9"/>
        <v>0</v>
      </c>
      <c r="K43" s="92">
        <f t="shared" si="10"/>
        <v>0</v>
      </c>
      <c r="M43" s="184" t="s">
        <v>193</v>
      </c>
      <c r="N43" s="92" t="s">
        <v>181</v>
      </c>
      <c r="O43" s="92">
        <f>Biomet_vähes!E106+Bioet_vähes!E83</f>
        <v>8.3084863150990937</v>
      </c>
      <c r="P43" s="92">
        <f>Biomet_vähes!F106+Bioet_vähes!F83</f>
        <v>6.7616972630198191</v>
      </c>
      <c r="Q43" s="92">
        <f>Biomet_vähes!G106+Bioet_vähes!G83</f>
        <v>5.1947227431625231</v>
      </c>
      <c r="R43" s="92">
        <f>Biomet_vähes!H106+Bioet_vähes!H83</f>
        <v>5.1947227431625276</v>
      </c>
      <c r="S43" s="92">
        <f>Biomet_vähes!I106+Bioet_vähes!I83</f>
        <v>0</v>
      </c>
      <c r="T43" s="92">
        <f>Biomet_vähes!J106+Bioet_vähes!J83</f>
        <v>0</v>
      </c>
      <c r="U43" s="92">
        <f>Biomet_vähes!K106+Bioet_vähes!K83</f>
        <v>0</v>
      </c>
      <c r="V43" s="92">
        <f>Biomet_vähes!L106+Bioet_vähes!L83</f>
        <v>0</v>
      </c>
    </row>
    <row r="44" spans="2:22" x14ac:dyDescent="0.3">
      <c r="B44" s="184" t="s">
        <v>194</v>
      </c>
      <c r="C44" s="92" t="s">
        <v>181</v>
      </c>
      <c r="D44" s="92">
        <f t="shared" si="3"/>
        <v>6.1472856953236592</v>
      </c>
      <c r="E44" s="92">
        <f t="shared" si="4"/>
        <v>1.3034451732527661</v>
      </c>
      <c r="F44" s="92">
        <f t="shared" si="5"/>
        <v>3.8434732391846747</v>
      </c>
      <c r="G44" s="92">
        <f t="shared" si="6"/>
        <v>3.8434732391846782</v>
      </c>
      <c r="H44" s="92">
        <f t="shared" si="7"/>
        <v>0.25179313354558353</v>
      </c>
      <c r="I44" s="92">
        <f t="shared" si="8"/>
        <v>0.25179313354558147</v>
      </c>
      <c r="J44" s="92">
        <f t="shared" si="9"/>
        <v>0.12589656677279282</v>
      </c>
      <c r="K44" s="92">
        <f t="shared" si="10"/>
        <v>0.37768970031837223</v>
      </c>
      <c r="M44" s="184" t="s">
        <v>194</v>
      </c>
      <c r="N44" s="92" t="s">
        <v>181</v>
      </c>
      <c r="O44" s="92">
        <f>Biomet_vähes!E107+Bioet_vähes!E84</f>
        <v>6.1472856953236592</v>
      </c>
      <c r="P44" s="92">
        <f>Biomet_vähes!F107+Bioet_vähes!F84</f>
        <v>1.3034451732527661</v>
      </c>
      <c r="Q44" s="92">
        <f>Biomet_vähes!G107+Bioet_vähes!G84</f>
        <v>3.8434732391846747</v>
      </c>
      <c r="R44" s="92">
        <f>Biomet_vähes!H107+Bioet_vähes!H84</f>
        <v>3.8434732391846782</v>
      </c>
      <c r="S44" s="92">
        <f>Biomet_vähes!I107+Bioet_vähes!I84</f>
        <v>0.25179313354558353</v>
      </c>
      <c r="T44" s="92">
        <f>Biomet_vähes!J107+Bioet_vähes!J84</f>
        <v>0.25179313354558147</v>
      </c>
      <c r="U44" s="92">
        <f>Biomet_vähes!K107+Bioet_vähes!K84</f>
        <v>0.12589656677279282</v>
      </c>
      <c r="V44" s="92">
        <f>Biomet_vähes!L107+Bioet_vähes!L84</f>
        <v>0.37768970031837223</v>
      </c>
    </row>
    <row r="45" spans="2:22" x14ac:dyDescent="0.3">
      <c r="B45" s="183" t="s">
        <v>593</v>
      </c>
      <c r="C45" s="92" t="s">
        <v>181</v>
      </c>
      <c r="D45" s="92">
        <f t="shared" si="3"/>
        <v>0.92686314901004208</v>
      </c>
      <c r="E45" s="92">
        <f t="shared" si="4"/>
        <v>35.212762023287816</v>
      </c>
      <c r="F45" s="92">
        <f t="shared" si="5"/>
        <v>39.894855573661538</v>
      </c>
      <c r="G45" s="92">
        <f t="shared" si="6"/>
        <v>45.259047888300621</v>
      </c>
      <c r="H45" s="92">
        <f t="shared" si="7"/>
        <v>50.041345871376407</v>
      </c>
      <c r="I45" s="92">
        <f t="shared" si="8"/>
        <v>55.235964601776722</v>
      </c>
      <c r="J45" s="92">
        <f t="shared" si="9"/>
        <v>59.43180428679706</v>
      </c>
      <c r="K45" s="92">
        <f t="shared" si="10"/>
        <v>66.975298378773743</v>
      </c>
      <c r="M45" s="182" t="s">
        <v>730</v>
      </c>
      <c r="N45" s="92" t="s">
        <v>181</v>
      </c>
      <c r="O45" s="92">
        <f>Biomet_vähes!E108+Bioet_vähes!E85</f>
        <v>0.92686314901004208</v>
      </c>
      <c r="P45" s="92">
        <f>Biomet_vähes!F108+Bioet_vähes!F85</f>
        <v>35.212762023287816</v>
      </c>
      <c r="Q45" s="92">
        <f>Biomet_vähes!G108+Bioet_vähes!G85</f>
        <v>39.894855573661538</v>
      </c>
      <c r="R45" s="92">
        <f>Biomet_vähes!H108+Bioet_vähes!H85</f>
        <v>45.259047888300621</v>
      </c>
      <c r="S45" s="92">
        <f>Biomet_vähes!I108+Bioet_vähes!I85</f>
        <v>50.041345871376407</v>
      </c>
      <c r="T45" s="92">
        <f>Biomet_vähes!J108+Bioet_vähes!J85</f>
        <v>55.235964601776722</v>
      </c>
      <c r="U45" s="92">
        <f>Biomet_vähes!K108+Bioet_vähes!K85</f>
        <v>59.43180428679706</v>
      </c>
      <c r="V45" s="92">
        <f>Biomet_vähes!L108+Bioet_vähes!L85</f>
        <v>66.975298378773743</v>
      </c>
    </row>
    <row r="46" spans="2:22" x14ac:dyDescent="0.3">
      <c r="B46" s="183" t="s">
        <v>594</v>
      </c>
      <c r="C46" s="92" t="s">
        <v>181</v>
      </c>
      <c r="D46" s="92">
        <f t="shared" si="3"/>
        <v>7.8799836750046044</v>
      </c>
      <c r="E46" s="92">
        <f t="shared" si="4"/>
        <v>41.940424315754953</v>
      </c>
      <c r="F46" s="92">
        <f t="shared" si="5"/>
        <v>1.2986806857906308</v>
      </c>
      <c r="G46" s="92">
        <f t="shared" si="6"/>
        <v>1.2986806857906319</v>
      </c>
      <c r="H46" s="92">
        <f t="shared" si="7"/>
        <v>0</v>
      </c>
      <c r="I46" s="92">
        <f t="shared" si="8"/>
        <v>0</v>
      </c>
      <c r="J46" s="92">
        <f t="shared" si="9"/>
        <v>0</v>
      </c>
      <c r="K46" s="92">
        <f t="shared" si="10"/>
        <v>0</v>
      </c>
      <c r="M46" s="183" t="s">
        <v>594</v>
      </c>
      <c r="N46" s="92" t="s">
        <v>181</v>
      </c>
      <c r="O46" s="92">
        <f>Biomet_vähes!E109+Bioet_vähes!E86</f>
        <v>7.8799836750046044</v>
      </c>
      <c r="P46" s="92">
        <f>Biomet_vähes!F109+Bioet_vähes!F86</f>
        <v>41.940424315754953</v>
      </c>
      <c r="Q46" s="92">
        <f>Biomet_vähes!G109+Bioet_vähes!G86</f>
        <v>1.2986806857906308</v>
      </c>
      <c r="R46" s="92">
        <f>Biomet_vähes!H109+Bioet_vähes!H86</f>
        <v>1.2986806857906319</v>
      </c>
      <c r="S46" s="92">
        <f>Biomet_vähes!I109+Bioet_vähes!I86</f>
        <v>0</v>
      </c>
      <c r="T46" s="92">
        <f>Biomet_vähes!J109+Bioet_vähes!J86</f>
        <v>0</v>
      </c>
      <c r="U46" s="92">
        <f>Biomet_vähes!K109+Bioet_vähes!K86</f>
        <v>0</v>
      </c>
      <c r="V46" s="92">
        <f>Biomet_vähes!L109+Bioet_vähes!L86</f>
        <v>0</v>
      </c>
    </row>
    <row r="47" spans="2:22" x14ac:dyDescent="0.3">
      <c r="B47" s="183" t="s">
        <v>195</v>
      </c>
      <c r="C47" s="92"/>
      <c r="D47" s="92">
        <f t="shared" si="3"/>
        <v>0</v>
      </c>
      <c r="E47" s="92">
        <f t="shared" si="4"/>
        <v>0</v>
      </c>
      <c r="F47" s="92">
        <f t="shared" si="5"/>
        <v>0</v>
      </c>
      <c r="G47" s="92">
        <f t="shared" si="6"/>
        <v>0</v>
      </c>
      <c r="H47" s="92">
        <f t="shared" si="7"/>
        <v>0</v>
      </c>
      <c r="I47" s="92">
        <f t="shared" si="8"/>
        <v>0</v>
      </c>
      <c r="J47" s="92">
        <f t="shared" si="9"/>
        <v>0</v>
      </c>
      <c r="K47" s="92">
        <f t="shared" si="10"/>
        <v>0</v>
      </c>
      <c r="M47" s="183" t="s">
        <v>195</v>
      </c>
      <c r="N47" s="92"/>
      <c r="O47" s="92">
        <f>Biomet_vähes!E110+Bioet_vähes!E87</f>
        <v>0</v>
      </c>
      <c r="P47" s="92">
        <f>Biomet_vähes!F110+Bioet_vähes!F87</f>
        <v>0</v>
      </c>
      <c r="Q47" s="92">
        <f>Biomet_vähes!G110+Bioet_vähes!G87</f>
        <v>0</v>
      </c>
      <c r="R47" s="92">
        <f>Biomet_vähes!H110+Bioet_vähes!H87</f>
        <v>0</v>
      </c>
      <c r="S47" s="92">
        <f>Biomet_vähes!I110+Bioet_vähes!I87</f>
        <v>0</v>
      </c>
      <c r="T47" s="92">
        <f>Biomet_vähes!J110+Bioet_vähes!J87</f>
        <v>0</v>
      </c>
      <c r="U47" s="92">
        <f>Biomet_vähes!K110+Bioet_vähes!K87</f>
        <v>0</v>
      </c>
      <c r="V47" s="92">
        <f>Biomet_vähes!L110+Bioet_vähes!L87</f>
        <v>0</v>
      </c>
    </row>
    <row r="48" spans="2:22" x14ac:dyDescent="0.3">
      <c r="B48" s="184" t="s">
        <v>595</v>
      </c>
      <c r="C48" s="92" t="s">
        <v>196</v>
      </c>
      <c r="D48" s="207">
        <f t="shared" si="3"/>
        <v>5053.0941017154537</v>
      </c>
      <c r="E48" s="207">
        <f t="shared" si="4"/>
        <v>10106.188203430907</v>
      </c>
      <c r="F48" s="207">
        <f t="shared" si="5"/>
        <v>25006.264058987457</v>
      </c>
      <c r="G48" s="207">
        <f t="shared" si="6"/>
        <v>39906.339914544027</v>
      </c>
      <c r="H48" s="207">
        <f t="shared" si="7"/>
        <v>40882.471802620697</v>
      </c>
      <c r="I48" s="207">
        <f t="shared" si="8"/>
        <v>41858.603690697353</v>
      </c>
      <c r="J48" s="207">
        <f t="shared" si="9"/>
        <v>42346.669634735685</v>
      </c>
      <c r="K48" s="207">
        <f t="shared" si="10"/>
        <v>43810.867466850672</v>
      </c>
      <c r="M48" s="184" t="s">
        <v>595</v>
      </c>
      <c r="N48" s="92" t="s">
        <v>196</v>
      </c>
      <c r="O48" s="207">
        <f>Biomet_vähes!E111+Bioet_vähes!E88</f>
        <v>5053.0941017154537</v>
      </c>
      <c r="P48" s="207">
        <f>Biomet_vähes!F111+Bioet_vähes!F88</f>
        <v>10106.188203430907</v>
      </c>
      <c r="Q48" s="207">
        <f>Biomet_vähes!G111+Bioet_vähes!G88</f>
        <v>25006.264058987457</v>
      </c>
      <c r="R48" s="207">
        <f>Biomet_vähes!H111+Bioet_vähes!H88</f>
        <v>39906.339914544027</v>
      </c>
      <c r="S48" s="207">
        <f>Biomet_vähes!I111+Bioet_vähes!I88</f>
        <v>40882.471802620697</v>
      </c>
      <c r="T48" s="207">
        <f>Biomet_vähes!J111+Bioet_vähes!J88</f>
        <v>41858.603690697353</v>
      </c>
      <c r="U48" s="207">
        <f>Biomet_vähes!K111+Bioet_vähes!K88</f>
        <v>42346.669634735685</v>
      </c>
      <c r="V48" s="207">
        <f>Biomet_vähes!L111+Bioet_vähes!L88</f>
        <v>43810.867466850672</v>
      </c>
    </row>
    <row r="49" spans="2:22" x14ac:dyDescent="0.3">
      <c r="B49" s="184" t="s">
        <v>596</v>
      </c>
      <c r="C49" s="92" t="s">
        <v>65</v>
      </c>
      <c r="D49" s="92">
        <f t="shared" si="3"/>
        <v>598.21101468713482</v>
      </c>
      <c r="E49" s="92">
        <f t="shared" si="4"/>
        <v>-4311.5779706257308</v>
      </c>
      <c r="F49" s="92">
        <f t="shared" si="5"/>
        <v>-4061.4777830872226</v>
      </c>
      <c r="G49" s="92">
        <f t="shared" si="6"/>
        <v>-7699.3775955487117</v>
      </c>
      <c r="H49" s="92">
        <f t="shared" si="7"/>
        <v>-8908.8638281927051</v>
      </c>
      <c r="I49" s="92">
        <f t="shared" si="8"/>
        <v>-9650.3500608367031</v>
      </c>
      <c r="J49" s="92">
        <f t="shared" si="9"/>
        <v>-10525.093177158698</v>
      </c>
      <c r="K49" s="92">
        <f t="shared" si="10"/>
        <v>-11090.122526124695</v>
      </c>
      <c r="M49" s="184" t="s">
        <v>596</v>
      </c>
      <c r="N49" s="92" t="s">
        <v>65</v>
      </c>
      <c r="O49" s="92">
        <f>Biomet_vähes!E112+Bioet_vähes!E89</f>
        <v>634.21101468713482</v>
      </c>
      <c r="P49" s="92">
        <f>Biomet_vähes!F112+Bioet_vähes!F89</f>
        <v>3968.4220293742696</v>
      </c>
      <c r="Q49" s="92">
        <f>Biomet_vähes!G112+Bioet_vähes!G89</f>
        <v>5838.5222169127774</v>
      </c>
      <c r="R49" s="92">
        <f>Biomet_vähes!H112+Bioet_vähes!H89</f>
        <v>7708.6224044512883</v>
      </c>
      <c r="S49" s="92">
        <f>Biomet_vähes!I112+Bioet_vähes!I89</f>
        <v>7831.136171807294</v>
      </c>
      <c r="T49" s="92">
        <f>Biomet_vähes!J112+Bioet_vähes!J89</f>
        <v>7953.6499391632979</v>
      </c>
      <c r="U49" s="92">
        <f>Biomet_vähes!K112+Bioet_vähes!K89</f>
        <v>8014.9068228413016</v>
      </c>
      <c r="V49" s="92">
        <f>Biomet_vähes!L112+Bioet_vähes!L89</f>
        <v>8198.6774738753084</v>
      </c>
    </row>
    <row r="50" spans="2:22" x14ac:dyDescent="0.3">
      <c r="B50" s="183" t="s">
        <v>598</v>
      </c>
      <c r="C50" s="92" t="s">
        <v>235</v>
      </c>
      <c r="D50" s="92">
        <f t="shared" si="3"/>
        <v>11.415798264368426</v>
      </c>
      <c r="E50" s="92">
        <f t="shared" si="4"/>
        <v>211.83159652873684</v>
      </c>
      <c r="F50" s="92">
        <f t="shared" si="5"/>
        <v>245.49339990442999</v>
      </c>
      <c r="G50" s="92">
        <f t="shared" si="6"/>
        <v>279.1552032801232</v>
      </c>
      <c r="H50" s="92">
        <f t="shared" si="7"/>
        <v>281.36045109253132</v>
      </c>
      <c r="I50" s="92">
        <f t="shared" si="8"/>
        <v>283.56569890493938</v>
      </c>
      <c r="J50" s="92">
        <f t="shared" si="9"/>
        <v>284.66832281114341</v>
      </c>
      <c r="K50" s="92">
        <f t="shared" si="10"/>
        <v>287.97619452975556</v>
      </c>
      <c r="M50" s="183" t="s">
        <v>598</v>
      </c>
      <c r="N50" s="92" t="s">
        <v>235</v>
      </c>
      <c r="O50" s="92">
        <f>Biomet_vähes!E113+Bioet_vähes!E90</f>
        <v>11.415798264368426</v>
      </c>
      <c r="P50" s="92">
        <f>Biomet_vähes!F113+Bioet_vähes!F90</f>
        <v>211.83159652873684</v>
      </c>
      <c r="Q50" s="92">
        <f>Biomet_vähes!G113+Bioet_vähes!G90</f>
        <v>245.49339990442999</v>
      </c>
      <c r="R50" s="92">
        <f>Biomet_vähes!H113+Bioet_vähes!H90</f>
        <v>279.1552032801232</v>
      </c>
      <c r="S50" s="92">
        <f>Biomet_vähes!I113+Bioet_vähes!I90</f>
        <v>281.36045109253132</v>
      </c>
      <c r="T50" s="92">
        <f>Biomet_vähes!J113+Bioet_vähes!J90</f>
        <v>283.56569890493938</v>
      </c>
      <c r="U50" s="92">
        <f>Biomet_vähes!K113+Bioet_vähes!K90</f>
        <v>284.66832281114341</v>
      </c>
      <c r="V50" s="92">
        <f>Biomet_vähes!L113+Bioet_vähes!L90</f>
        <v>287.97619452975556</v>
      </c>
    </row>
    <row r="52" spans="2:22" x14ac:dyDescent="0.3">
      <c r="B52" s="231" t="s">
        <v>645</v>
      </c>
      <c r="C52" s="232"/>
      <c r="D52" s="232"/>
      <c r="E52" s="232"/>
      <c r="F52" s="232"/>
      <c r="G52" s="232"/>
      <c r="H52" s="232"/>
      <c r="I52" s="232"/>
      <c r="J52" s="232"/>
      <c r="K52" s="232"/>
      <c r="M52" s="231" t="s">
        <v>641</v>
      </c>
      <c r="N52" s="232"/>
      <c r="O52" s="232"/>
      <c r="P52" s="232"/>
      <c r="Q52" s="232"/>
      <c r="R52" s="232"/>
      <c r="S52" s="232"/>
      <c r="T52" s="232"/>
      <c r="U52" s="232"/>
      <c r="V52" s="232"/>
    </row>
    <row r="53" spans="2:22" x14ac:dyDescent="0.3">
      <c r="B53" s="181"/>
      <c r="C53" s="90" t="s">
        <v>143</v>
      </c>
      <c r="D53" s="90">
        <v>2015</v>
      </c>
      <c r="E53" s="90">
        <v>2020</v>
      </c>
      <c r="F53" s="90">
        <v>2025</v>
      </c>
      <c r="G53" s="90">
        <v>2030</v>
      </c>
      <c r="H53" s="90">
        <v>2035</v>
      </c>
      <c r="I53" s="90">
        <v>2040</v>
      </c>
      <c r="J53" s="90">
        <v>2045</v>
      </c>
      <c r="K53" s="90">
        <v>2050</v>
      </c>
      <c r="M53" s="181"/>
      <c r="N53" s="90" t="s">
        <v>143</v>
      </c>
      <c r="O53" s="90">
        <v>2015</v>
      </c>
      <c r="P53" s="90">
        <v>2020</v>
      </c>
      <c r="Q53" s="90">
        <v>2025</v>
      </c>
      <c r="R53" s="90">
        <v>2030</v>
      </c>
      <c r="S53" s="90">
        <v>2035</v>
      </c>
      <c r="T53" s="90">
        <v>2040</v>
      </c>
      <c r="U53" s="90">
        <v>2045</v>
      </c>
      <c r="V53" s="90">
        <v>2050</v>
      </c>
    </row>
    <row r="54" spans="2:22" x14ac:dyDescent="0.3">
      <c r="B54" s="182" t="s">
        <v>609</v>
      </c>
      <c r="C54" s="92" t="s">
        <v>65</v>
      </c>
      <c r="D54" s="166">
        <f t="shared" ref="D54:K58" si="11">O54-D6</f>
        <v>0</v>
      </c>
      <c r="E54" s="166">
        <f t="shared" si="11"/>
        <v>828.90000000000009</v>
      </c>
      <c r="F54" s="166">
        <f t="shared" si="11"/>
        <v>828.90000000000009</v>
      </c>
      <c r="G54" s="166">
        <f t="shared" si="11"/>
        <v>1823.5800000000004</v>
      </c>
      <c r="H54" s="166">
        <f t="shared" si="11"/>
        <v>1823.5799999999995</v>
      </c>
      <c r="I54" s="166">
        <f t="shared" si="11"/>
        <v>1823.58</v>
      </c>
      <c r="J54" s="166">
        <f t="shared" si="11"/>
        <v>1823.58</v>
      </c>
      <c r="K54" s="166">
        <f t="shared" si="11"/>
        <v>1823.58</v>
      </c>
      <c r="M54" s="182" t="s">
        <v>609</v>
      </c>
      <c r="N54" s="92" t="s">
        <v>65</v>
      </c>
      <c r="O54" s="166">
        <f>Biomet_max!E102+Bioet_max!E71</f>
        <v>381.76069638469636</v>
      </c>
      <c r="P54" s="166">
        <f>Biomet_max!F102+Bioet_max!F71</f>
        <v>2801.3302646542647</v>
      </c>
      <c r="Q54" s="166">
        <f>Biomet_max!G102+Bioet_max!G71</f>
        <v>3373.9713092313091</v>
      </c>
      <c r="R54" s="166">
        <f>Biomet_max!H102+Bioet_max!H71</f>
        <v>5170.3487716391719</v>
      </c>
      <c r="S54" s="166">
        <f>Biomet_max!I102+Bioet_max!I71</f>
        <v>5641.1869638469634</v>
      </c>
      <c r="T54" s="166">
        <f>Biomet_max!J102+Bioet_max!J71</f>
        <v>5946.595520954721</v>
      </c>
      <c r="U54" s="166">
        <f>Biomet_max!K102+Bioet_max!K71</f>
        <v>6277.4547911547907</v>
      </c>
      <c r="V54" s="166">
        <f>Biomet_max!L102+Bioet_max!L71</f>
        <v>6542.1422073148478</v>
      </c>
    </row>
    <row r="55" spans="2:22" x14ac:dyDescent="0.3">
      <c r="B55" s="183" t="s">
        <v>610</v>
      </c>
      <c r="C55" s="92" t="s">
        <v>181</v>
      </c>
      <c r="D55" s="92">
        <f t="shared" si="11"/>
        <v>31.728092290413976</v>
      </c>
      <c r="E55" s="92">
        <f t="shared" si="11"/>
        <v>244.09246804208107</v>
      </c>
      <c r="F55" s="92">
        <f t="shared" si="11"/>
        <v>238.03003067874329</v>
      </c>
      <c r="G55" s="92">
        <f t="shared" si="11"/>
        <v>446.01051286548318</v>
      </c>
      <c r="H55" s="92">
        <f t="shared" si="11"/>
        <v>432.11661757774789</v>
      </c>
      <c r="I55" s="92">
        <f t="shared" si="11"/>
        <v>458.72694021699533</v>
      </c>
      <c r="J55" s="92">
        <f t="shared" si="11"/>
        <v>487.33824963028883</v>
      </c>
      <c r="K55" s="92">
        <f t="shared" si="11"/>
        <v>512.56049408003787</v>
      </c>
      <c r="M55" s="183" t="s">
        <v>610</v>
      </c>
      <c r="N55" s="92" t="s">
        <v>181</v>
      </c>
      <c r="O55" s="92">
        <f>Biomet_max!E103+Bioet_max!E72</f>
        <v>31.728092290413976</v>
      </c>
      <c r="P55" s="92">
        <f>Biomet_max!F103+Bioet_max!F72</f>
        <v>244.09246804208107</v>
      </c>
      <c r="Q55" s="92">
        <f>Biomet_max!G103+Bioet_max!G72</f>
        <v>238.03003067874329</v>
      </c>
      <c r="R55" s="92">
        <f>Biomet_max!H103+Bioet_max!H72</f>
        <v>446.01051286548318</v>
      </c>
      <c r="S55" s="92">
        <f>Biomet_max!I103+Bioet_max!I72</f>
        <v>432.11661757774789</v>
      </c>
      <c r="T55" s="92">
        <f>Biomet_max!J103+Bioet_max!J72</f>
        <v>458.72694021699533</v>
      </c>
      <c r="U55" s="92">
        <f>Biomet_max!K103+Bioet_max!K72</f>
        <v>487.33824963028883</v>
      </c>
      <c r="V55" s="92">
        <f>Biomet_max!L103+Bioet_max!L72</f>
        <v>512.56049408003787</v>
      </c>
    </row>
    <row r="56" spans="2:22" x14ac:dyDescent="0.3">
      <c r="B56" s="184" t="s">
        <v>736</v>
      </c>
      <c r="C56" s="92" t="s">
        <v>181</v>
      </c>
      <c r="D56" s="239">
        <f t="shared" si="11"/>
        <v>4.5</v>
      </c>
      <c r="E56" s="239">
        <f t="shared" si="11"/>
        <v>35.515150684931506</v>
      </c>
      <c r="F56" s="239">
        <f t="shared" si="11"/>
        <v>42.265150684931506</v>
      </c>
      <c r="G56" s="239">
        <f t="shared" si="11"/>
        <v>66.433331506849314</v>
      </c>
      <c r="H56" s="239">
        <f t="shared" si="11"/>
        <v>71.983331506849311</v>
      </c>
      <c r="I56" s="239">
        <f t="shared" si="11"/>
        <v>75.583331506849319</v>
      </c>
      <c r="J56" s="239">
        <f t="shared" si="11"/>
        <v>79.483331506849311</v>
      </c>
      <c r="K56" s="239">
        <f t="shared" si="11"/>
        <v>82.603331506849315</v>
      </c>
      <c r="M56" s="184" t="s">
        <v>736</v>
      </c>
      <c r="N56" s="92" t="s">
        <v>181</v>
      </c>
      <c r="O56" s="92">
        <f>Biomet_max!E104+Bioet_max!E73</f>
        <v>4.5</v>
      </c>
      <c r="P56" s="92">
        <f>Biomet_max!F104+Bioet_max!F73</f>
        <v>35.515150684931506</v>
      </c>
      <c r="Q56" s="92">
        <f>Biomet_max!G104+Bioet_max!G73</f>
        <v>42.265150684931506</v>
      </c>
      <c r="R56" s="92">
        <f>Biomet_max!H104+Bioet_max!H73</f>
        <v>66.433331506849314</v>
      </c>
      <c r="S56" s="92">
        <f>Biomet_max!I104+Bioet_max!I73</f>
        <v>71.983331506849311</v>
      </c>
      <c r="T56" s="92">
        <f>Biomet_max!J104+Bioet_max!J73</f>
        <v>75.583331506849319</v>
      </c>
      <c r="U56" s="92">
        <f>Biomet_max!K104+Bioet_max!K73</f>
        <v>79.483331506849311</v>
      </c>
      <c r="V56" s="92">
        <f>Biomet_max!L104+Bioet_max!L73</f>
        <v>82.603331506849315</v>
      </c>
    </row>
    <row r="57" spans="2:22" x14ac:dyDescent="0.3">
      <c r="B57" s="184" t="s">
        <v>590</v>
      </c>
      <c r="C57" s="92" t="s">
        <v>181</v>
      </c>
      <c r="D57" s="239">
        <f t="shared" si="11"/>
        <v>4.2</v>
      </c>
      <c r="E57" s="239">
        <f t="shared" si="11"/>
        <v>58.867123287671234</v>
      </c>
      <c r="F57" s="239">
        <f t="shared" si="11"/>
        <v>65.167123287671231</v>
      </c>
      <c r="G57" s="239">
        <f t="shared" si="11"/>
        <v>118.58767123287672</v>
      </c>
      <c r="H57" s="239">
        <f t="shared" si="11"/>
        <v>123.76767123287672</v>
      </c>
      <c r="I57" s="239">
        <f t="shared" si="11"/>
        <v>127.12767123287671</v>
      </c>
      <c r="J57" s="239">
        <f t="shared" si="11"/>
        <v>130.76767123287672</v>
      </c>
      <c r="K57" s="239">
        <f t="shared" si="11"/>
        <v>133.67967123287673</v>
      </c>
      <c r="M57" s="184" t="s">
        <v>590</v>
      </c>
      <c r="N57" s="92" t="s">
        <v>181</v>
      </c>
      <c r="O57" s="92">
        <f>Biomet_max!E105+Bioet_max!E74</f>
        <v>4.2</v>
      </c>
      <c r="P57" s="92">
        <f>Biomet_max!F105+Bioet_max!F74</f>
        <v>58.867123287671234</v>
      </c>
      <c r="Q57" s="92">
        <f>Biomet_max!G105+Bioet_max!G74</f>
        <v>65.167123287671231</v>
      </c>
      <c r="R57" s="92">
        <f>Biomet_max!H105+Bioet_max!H74</f>
        <v>118.58767123287672</v>
      </c>
      <c r="S57" s="92">
        <f>Biomet_max!I105+Bioet_max!I74</f>
        <v>123.76767123287672</v>
      </c>
      <c r="T57" s="92">
        <f>Biomet_max!J105+Bioet_max!J74</f>
        <v>127.12767123287671</v>
      </c>
      <c r="U57" s="92">
        <f>Biomet_max!K105+Bioet_max!K74</f>
        <v>130.76767123287672</v>
      </c>
      <c r="V57" s="92">
        <f>Biomet_max!L105+Bioet_max!L74</f>
        <v>133.67967123287673</v>
      </c>
    </row>
    <row r="58" spans="2:22" x14ac:dyDescent="0.3">
      <c r="B58" s="184" t="s">
        <v>737</v>
      </c>
      <c r="C58" s="92" t="s">
        <v>181</v>
      </c>
      <c r="D58" s="239">
        <f t="shared" si="11"/>
        <v>5.3999999999999995</v>
      </c>
      <c r="E58" s="239">
        <f t="shared" si="11"/>
        <v>46.29772602739726</v>
      </c>
      <c r="F58" s="239">
        <f t="shared" si="11"/>
        <v>54.397726027397255</v>
      </c>
      <c r="G58" s="239">
        <f t="shared" si="11"/>
        <v>87.814997260273969</v>
      </c>
      <c r="H58" s="239">
        <f t="shared" si="11"/>
        <v>94.474997260273966</v>
      </c>
      <c r="I58" s="239">
        <f t="shared" si="11"/>
        <v>98.794997260273973</v>
      </c>
      <c r="J58" s="239">
        <f t="shared" si="11"/>
        <v>103.47499726027397</v>
      </c>
      <c r="K58" s="239">
        <f t="shared" si="11"/>
        <v>107.21899726027397</v>
      </c>
      <c r="M58" s="184" t="s">
        <v>737</v>
      </c>
      <c r="N58" s="92" t="s">
        <v>181</v>
      </c>
      <c r="O58" s="92">
        <f>Biomet_max!E106+Bioet_max!E75</f>
        <v>5.3999999999999995</v>
      </c>
      <c r="P58" s="92">
        <f>Biomet_max!F106+Bioet_max!F75</f>
        <v>46.29772602739726</v>
      </c>
      <c r="Q58" s="92">
        <f>Biomet_max!G106+Bioet_max!G75</f>
        <v>54.397726027397255</v>
      </c>
      <c r="R58" s="92">
        <f>Biomet_max!H106+Bioet_max!H75</f>
        <v>87.814997260273969</v>
      </c>
      <c r="S58" s="92">
        <f>Biomet_max!I106+Bioet_max!I75</f>
        <v>94.474997260273966</v>
      </c>
      <c r="T58" s="92">
        <f>Biomet_max!J106+Bioet_max!J75</f>
        <v>98.794997260273973</v>
      </c>
      <c r="U58" s="92">
        <f>Biomet_max!K106+Bioet_max!K75</f>
        <v>103.47499726027397</v>
      </c>
      <c r="V58" s="92">
        <f>Biomet_max!L106+Bioet_max!L75</f>
        <v>107.21899726027397</v>
      </c>
    </row>
    <row r="59" spans="2:22" x14ac:dyDescent="0.3">
      <c r="B59" s="184" t="s">
        <v>738</v>
      </c>
      <c r="C59" s="92" t="s">
        <v>181</v>
      </c>
      <c r="D59" s="239"/>
      <c r="E59" s="239"/>
      <c r="F59" s="239"/>
      <c r="G59" s="239"/>
      <c r="H59" s="239"/>
      <c r="I59" s="239"/>
      <c r="J59" s="239"/>
      <c r="K59" s="239"/>
      <c r="M59" s="184" t="s">
        <v>738</v>
      </c>
      <c r="N59" s="92" t="s">
        <v>181</v>
      </c>
      <c r="O59" s="92">
        <f>Biomet_max!E107+Bioet_max!E76</f>
        <v>4.8</v>
      </c>
      <c r="P59" s="92">
        <f>Biomet_max!F107+Bioet_max!F76</f>
        <v>29.200000000000003</v>
      </c>
      <c r="Q59" s="92">
        <f>Biomet_max!G107+Bioet_max!G76</f>
        <v>36.4</v>
      </c>
      <c r="R59" s="92">
        <f>Biomet_max!H107+Bioet_max!H76</f>
        <v>51.76</v>
      </c>
      <c r="S59" s="92">
        <f>Biomet_max!I107+Bioet_max!I76</f>
        <v>57.68</v>
      </c>
      <c r="T59" s="92">
        <f>Biomet_max!J107+Bioet_max!J76</f>
        <v>61.52</v>
      </c>
      <c r="U59" s="92">
        <f>Biomet_max!K107+Bioet_max!K76</f>
        <v>65.680000000000007</v>
      </c>
      <c r="V59" s="92">
        <f>Biomet_max!L107+Bioet_max!L76</f>
        <v>69.00800000000001</v>
      </c>
    </row>
    <row r="60" spans="2:22" x14ac:dyDescent="0.3">
      <c r="B60" s="184" t="s">
        <v>628</v>
      </c>
      <c r="C60" s="92" t="s">
        <v>181</v>
      </c>
      <c r="D60" s="239"/>
      <c r="E60" s="239"/>
      <c r="F60" s="239"/>
      <c r="G60" s="239"/>
      <c r="H60" s="239"/>
      <c r="I60" s="239"/>
      <c r="J60" s="239"/>
      <c r="K60" s="239"/>
      <c r="M60" s="184" t="s">
        <v>628</v>
      </c>
      <c r="N60" s="92" t="s">
        <v>181</v>
      </c>
      <c r="O60" s="92">
        <f>Biomet_max!E108+Bioet_max!E77</f>
        <v>2.1</v>
      </c>
      <c r="P60" s="92">
        <f>Biomet_max!F108+Bioet_max!F77</f>
        <v>11.779178082191782</v>
      </c>
      <c r="Q60" s="92">
        <f>Biomet_max!G108+Bioet_max!G77</f>
        <v>14.929178082191783</v>
      </c>
      <c r="R60" s="92">
        <f>Biomet_max!H108+Bioet_max!H77</f>
        <v>20.454191780821919</v>
      </c>
      <c r="S60" s="92">
        <f>Biomet_max!I108+Bioet_max!I77</f>
        <v>23.044191780821922</v>
      </c>
      <c r="T60" s="92">
        <f>Biomet_max!J108+Bioet_max!J77</f>
        <v>24.724191780821922</v>
      </c>
      <c r="U60" s="92">
        <f>Biomet_max!K108+Bioet_max!K77</f>
        <v>26.544191780821922</v>
      </c>
      <c r="V60" s="92">
        <f>Biomet_max!L108+Bioet_max!L77</f>
        <v>28.000191780821922</v>
      </c>
    </row>
    <row r="61" spans="2:22" x14ac:dyDescent="0.3">
      <c r="B61" s="184" t="s">
        <v>631</v>
      </c>
      <c r="C61" s="92" t="s">
        <v>181</v>
      </c>
      <c r="D61" s="239">
        <f t="shared" ref="D61:D74" si="12">O61-D13</f>
        <v>10.728092290413976</v>
      </c>
      <c r="E61" s="239">
        <f t="shared" ref="E61:E74" si="13">P61-E13</f>
        <v>62.433289959889294</v>
      </c>
      <c r="F61" s="239">
        <f t="shared" ref="F61:F74" si="14">Q61-F13</f>
        <v>24.870852596551487</v>
      </c>
      <c r="G61" s="239">
        <f t="shared" ref="G61:G74" si="15">R61-G13</f>
        <v>100.96032108466125</v>
      </c>
      <c r="H61" s="239">
        <f t="shared" ref="H61:H74" si="16">S61-H13</f>
        <v>61.166425796926006</v>
      </c>
      <c r="I61" s="239">
        <f t="shared" ref="I61:I74" si="17">T61-I13</f>
        <v>70.976748436173409</v>
      </c>
      <c r="J61" s="239">
        <f t="shared" ref="J61:J74" si="18">U61-J13</f>
        <v>81.388057849466946</v>
      </c>
      <c r="K61" s="239">
        <f t="shared" ref="K61:K74" si="19">V61-K13</f>
        <v>92.050302299215957</v>
      </c>
      <c r="M61" s="184" t="s">
        <v>631</v>
      </c>
      <c r="N61" s="92" t="s">
        <v>181</v>
      </c>
      <c r="O61" s="92">
        <f>Biomet_max!E109+Bioet_max!E78</f>
        <v>10.728092290413976</v>
      </c>
      <c r="P61" s="92">
        <f>Biomet_max!F109+Bioet_max!F78</f>
        <v>62.433289959889294</v>
      </c>
      <c r="Q61" s="92">
        <f>Biomet_max!G109+Bioet_max!G78</f>
        <v>24.870852596551487</v>
      </c>
      <c r="R61" s="92">
        <f>Biomet_max!H109+Bioet_max!H78</f>
        <v>100.96032108466125</v>
      </c>
      <c r="S61" s="92">
        <f>Biomet_max!I109+Bioet_max!I78</f>
        <v>61.166425796926006</v>
      </c>
      <c r="T61" s="92">
        <f>Biomet_max!J109+Bioet_max!J78</f>
        <v>70.976748436173409</v>
      </c>
      <c r="U61" s="92">
        <f>Biomet_max!K109+Bioet_max!K78</f>
        <v>81.388057849466946</v>
      </c>
      <c r="V61" s="92">
        <f>Biomet_max!L109+Bioet_max!L78</f>
        <v>92.050302299215957</v>
      </c>
    </row>
    <row r="62" spans="2:22" x14ac:dyDescent="0.3">
      <c r="B62" s="182" t="s">
        <v>597</v>
      </c>
      <c r="C62" s="92" t="s">
        <v>181</v>
      </c>
      <c r="D62" s="92">
        <f t="shared" si="12"/>
        <v>1.5783582715362625</v>
      </c>
      <c r="E62" s="92">
        <f t="shared" si="13"/>
        <v>34.954851069604025</v>
      </c>
      <c r="F62" s="92">
        <f t="shared" si="14"/>
        <v>37.322388476908415</v>
      </c>
      <c r="G62" s="92">
        <f t="shared" si="15"/>
        <v>72.796940847134579</v>
      </c>
      <c r="H62" s="92">
        <f t="shared" si="16"/>
        <v>74.743582715362635</v>
      </c>
      <c r="I62" s="92">
        <f t="shared" si="17"/>
        <v>76.006269332591643</v>
      </c>
      <c r="J62" s="92">
        <f t="shared" si="18"/>
        <v>77.374179834589739</v>
      </c>
      <c r="K62" s="92">
        <f t="shared" si="19"/>
        <v>78.468508236188214</v>
      </c>
      <c r="M62" s="182" t="s">
        <v>597</v>
      </c>
      <c r="N62" s="92" t="s">
        <v>181</v>
      </c>
      <c r="O62" s="92">
        <f>Biomet_max!E110+Bioet_max!E79</f>
        <v>1.5783582715362625</v>
      </c>
      <c r="P62" s="92">
        <f>Biomet_max!F110+Bioet_max!F79</f>
        <v>34.954851069604025</v>
      </c>
      <c r="Q62" s="92">
        <f>Biomet_max!G110+Bioet_max!G79</f>
        <v>37.322388476908415</v>
      </c>
      <c r="R62" s="92">
        <f>Biomet_max!H110+Bioet_max!H79</f>
        <v>72.796940847134579</v>
      </c>
      <c r="S62" s="92">
        <f>Biomet_max!I110+Bioet_max!I79</f>
        <v>74.743582715362635</v>
      </c>
      <c r="T62" s="92">
        <f>Biomet_max!J110+Bioet_max!J79</f>
        <v>76.006269332591643</v>
      </c>
      <c r="U62" s="92">
        <f>Biomet_max!K110+Bioet_max!K79</f>
        <v>77.374179834589739</v>
      </c>
      <c r="V62" s="92">
        <f>Biomet_max!L110+Bioet_max!L79</f>
        <v>78.468508236188214</v>
      </c>
    </row>
    <row r="63" spans="2:22" x14ac:dyDescent="0.3">
      <c r="B63" s="183" t="s">
        <v>611</v>
      </c>
      <c r="C63" s="92" t="s">
        <v>181</v>
      </c>
      <c r="D63" s="92">
        <f t="shared" si="12"/>
        <v>21</v>
      </c>
      <c r="E63" s="92">
        <f t="shared" si="13"/>
        <v>167.63761697247708</v>
      </c>
      <c r="F63" s="92">
        <f t="shared" si="14"/>
        <v>200.70764220183486</v>
      </c>
      <c r="G63" s="92">
        <f t="shared" si="15"/>
        <v>323.41357201834853</v>
      </c>
      <c r="H63" s="92">
        <f t="shared" si="16"/>
        <v>357.37303486238528</v>
      </c>
      <c r="I63" s="92">
        <f t="shared" si="17"/>
        <v>382.72067088440372</v>
      </c>
      <c r="J63" s="92">
        <f t="shared" si="18"/>
        <v>409.96406979569912</v>
      </c>
      <c r="K63" s="92">
        <f t="shared" si="19"/>
        <v>434.09198584384967</v>
      </c>
      <c r="M63" s="183" t="s">
        <v>611</v>
      </c>
      <c r="N63" s="92" t="s">
        <v>181</v>
      </c>
      <c r="O63" s="92">
        <f>Biomet_max!E111+Bioet_max!E80</f>
        <v>21</v>
      </c>
      <c r="P63" s="92">
        <f>Biomet_max!F111+Bioet_max!F80</f>
        <v>167.63761697247708</v>
      </c>
      <c r="Q63" s="92">
        <f>Biomet_max!G111+Bioet_max!G80</f>
        <v>200.70764220183486</v>
      </c>
      <c r="R63" s="92">
        <f>Biomet_max!H111+Bioet_max!H80</f>
        <v>323.41357201834853</v>
      </c>
      <c r="S63" s="92">
        <f>Biomet_max!I111+Bioet_max!I80</f>
        <v>357.37303486238528</v>
      </c>
      <c r="T63" s="92">
        <f>Biomet_max!J111+Bioet_max!J80</f>
        <v>382.72067088440372</v>
      </c>
      <c r="U63" s="92">
        <f>Biomet_max!K111+Bioet_max!K80</f>
        <v>409.96406979569912</v>
      </c>
      <c r="V63" s="92">
        <f>Biomet_max!L111+Bioet_max!L80</f>
        <v>434.09198584384967</v>
      </c>
    </row>
    <row r="64" spans="2:22" x14ac:dyDescent="0.3">
      <c r="B64" s="183" t="s">
        <v>189</v>
      </c>
      <c r="C64" s="92" t="s">
        <v>181</v>
      </c>
      <c r="D64" s="92">
        <f t="shared" si="12"/>
        <v>129.16870905928698</v>
      </c>
      <c r="E64" s="92">
        <f t="shared" si="13"/>
        <v>203.33532123022712</v>
      </c>
      <c r="F64" s="92">
        <f t="shared" si="14"/>
        <v>82.142866768030075</v>
      </c>
      <c r="G64" s="92">
        <f t="shared" si="15"/>
        <v>200.97586196803007</v>
      </c>
      <c r="H64" s="92">
        <f t="shared" si="16"/>
        <v>27.2011568</v>
      </c>
      <c r="I64" s="92">
        <f t="shared" si="17"/>
        <v>17.643993599999998</v>
      </c>
      <c r="J64" s="92">
        <f t="shared" si="18"/>
        <v>19.114326399999999</v>
      </c>
      <c r="K64" s="92">
        <f t="shared" si="19"/>
        <v>15.291461120000008</v>
      </c>
      <c r="M64" s="183" t="s">
        <v>189</v>
      </c>
      <c r="N64" s="92" t="s">
        <v>181</v>
      </c>
      <c r="O64" s="92">
        <f>Biomet_max!E112+Bioet_max!E81</f>
        <v>129.16870905928698</v>
      </c>
      <c r="P64" s="92">
        <f>Biomet_max!F112+Bioet_max!F81</f>
        <v>203.33532123022712</v>
      </c>
      <c r="Q64" s="92">
        <f>Biomet_max!G112+Bioet_max!G81</f>
        <v>82.142866768030075</v>
      </c>
      <c r="R64" s="92">
        <f>Biomet_max!H112+Bioet_max!H81</f>
        <v>200.97586196803007</v>
      </c>
      <c r="S64" s="92">
        <f>Biomet_max!I112+Bioet_max!I81</f>
        <v>27.2011568</v>
      </c>
      <c r="T64" s="92">
        <f>Biomet_max!J112+Bioet_max!J81</f>
        <v>17.643993599999998</v>
      </c>
      <c r="U64" s="92">
        <f>Biomet_max!K112+Bioet_max!K81</f>
        <v>19.114326399999999</v>
      </c>
      <c r="V64" s="92">
        <f>Biomet_max!L112+Bioet_max!L81</f>
        <v>15.291461120000008</v>
      </c>
    </row>
    <row r="65" spans="2:22" x14ac:dyDescent="0.3">
      <c r="B65" s="238" t="s">
        <v>190</v>
      </c>
      <c r="C65" s="239" t="s">
        <v>181</v>
      </c>
      <c r="D65" s="239">
        <f t="shared" si="12"/>
        <v>24.603368</v>
      </c>
      <c r="E65" s="239">
        <f t="shared" si="13"/>
        <v>40.299800000000005</v>
      </c>
      <c r="F65" s="239">
        <f t="shared" si="14"/>
        <v>7.6355279999999999</v>
      </c>
      <c r="G65" s="239">
        <f t="shared" si="15"/>
        <v>33.597739199999999</v>
      </c>
      <c r="H65" s="239">
        <f t="shared" si="16"/>
        <v>6.2781008000000007</v>
      </c>
      <c r="I65" s="239">
        <f t="shared" si="17"/>
        <v>4.0722815999999993</v>
      </c>
      <c r="J65" s="239">
        <f t="shared" si="18"/>
        <v>4.4116384000000002</v>
      </c>
      <c r="K65" s="239">
        <f t="shared" si="19"/>
        <v>3.5293107200000016</v>
      </c>
      <c r="M65" s="184" t="s">
        <v>190</v>
      </c>
      <c r="N65" s="92" t="s">
        <v>181</v>
      </c>
      <c r="O65" s="92">
        <f>Biomet_max!E113+Bioet_max!E82</f>
        <v>24.603368</v>
      </c>
      <c r="P65" s="92">
        <f>Biomet_max!F113+Bioet_max!F82</f>
        <v>40.299800000000005</v>
      </c>
      <c r="Q65" s="92">
        <f>Biomet_max!G113+Bioet_max!G82</f>
        <v>7.6355279999999999</v>
      </c>
      <c r="R65" s="92">
        <f>Biomet_max!H113+Bioet_max!H82</f>
        <v>33.597739199999999</v>
      </c>
      <c r="S65" s="92">
        <f>Biomet_max!I113+Bioet_max!I82</f>
        <v>6.2781008000000007</v>
      </c>
      <c r="T65" s="92">
        <f>Biomet_max!J113+Bioet_max!J82</f>
        <v>4.0722815999999993</v>
      </c>
      <c r="U65" s="92">
        <f>Biomet_max!K113+Bioet_max!K82</f>
        <v>4.4116384000000002</v>
      </c>
      <c r="V65" s="92">
        <f>Biomet_max!L113+Bioet_max!L82</f>
        <v>3.5293107200000016</v>
      </c>
    </row>
    <row r="66" spans="2:22" x14ac:dyDescent="0.3">
      <c r="B66" s="238" t="s">
        <v>192</v>
      </c>
      <c r="C66" s="239" t="s">
        <v>181</v>
      </c>
      <c r="D66" s="239">
        <f t="shared" si="12"/>
        <v>81.995760000000004</v>
      </c>
      <c r="E66" s="239">
        <f t="shared" si="13"/>
        <v>134.596</v>
      </c>
      <c r="F66" s="239">
        <f t="shared" si="14"/>
        <v>25.446960000000001</v>
      </c>
      <c r="G66" s="239">
        <f t="shared" si="15"/>
        <v>112.31774399999999</v>
      </c>
      <c r="H66" s="239">
        <f t="shared" si="16"/>
        <v>20.923055999999999</v>
      </c>
      <c r="I66" s="239">
        <f t="shared" si="17"/>
        <v>13.571712</v>
      </c>
      <c r="J66" s="239">
        <f t="shared" si="18"/>
        <v>14.702688</v>
      </c>
      <c r="K66" s="239">
        <f t="shared" si="19"/>
        <v>11.762150400000007</v>
      </c>
      <c r="M66" s="184" t="s">
        <v>192</v>
      </c>
      <c r="N66" s="92" t="s">
        <v>181</v>
      </c>
      <c r="O66" s="92">
        <f>Biomet_max!E114+Bioet_max!E83</f>
        <v>81.995760000000004</v>
      </c>
      <c r="P66" s="92">
        <f>Biomet_max!F114+Bioet_max!F83</f>
        <v>134.596</v>
      </c>
      <c r="Q66" s="92">
        <f>Biomet_max!G114+Bioet_max!G83</f>
        <v>25.446960000000001</v>
      </c>
      <c r="R66" s="92">
        <f>Biomet_max!H114+Bioet_max!H83</f>
        <v>112.31774399999999</v>
      </c>
      <c r="S66" s="92">
        <f>Biomet_max!I114+Bioet_max!I83</f>
        <v>20.923055999999999</v>
      </c>
      <c r="T66" s="92">
        <f>Biomet_max!J114+Bioet_max!J83</f>
        <v>13.571712</v>
      </c>
      <c r="U66" s="92">
        <f>Biomet_max!K114+Bioet_max!K83</f>
        <v>14.702688</v>
      </c>
      <c r="V66" s="92">
        <f>Biomet_max!L114+Bioet_max!L83</f>
        <v>11.762150400000007</v>
      </c>
    </row>
    <row r="67" spans="2:22" x14ac:dyDescent="0.3">
      <c r="B67" s="238" t="s">
        <v>193</v>
      </c>
      <c r="C67" s="239" t="s">
        <v>181</v>
      </c>
      <c r="D67" s="239">
        <f t="shared" si="12"/>
        <v>12.971915663404372</v>
      </c>
      <c r="E67" s="239">
        <f t="shared" si="13"/>
        <v>18.471915663404374</v>
      </c>
      <c r="F67" s="239">
        <f t="shared" si="14"/>
        <v>28.197559100535056</v>
      </c>
      <c r="G67" s="239">
        <f t="shared" si="15"/>
        <v>34.197559100535052</v>
      </c>
      <c r="H67" s="239">
        <f t="shared" si="16"/>
        <v>0</v>
      </c>
      <c r="I67" s="239">
        <f t="shared" si="17"/>
        <v>0</v>
      </c>
      <c r="J67" s="239">
        <f t="shared" si="18"/>
        <v>0</v>
      </c>
      <c r="K67" s="239">
        <f t="shared" si="19"/>
        <v>0</v>
      </c>
      <c r="M67" s="184" t="s">
        <v>193</v>
      </c>
      <c r="N67" s="92" t="s">
        <v>181</v>
      </c>
      <c r="O67" s="92">
        <f>Biomet_max!E115+Bioet_max!E84</f>
        <v>12.971915663404372</v>
      </c>
      <c r="P67" s="92">
        <f>Biomet_max!F115+Bioet_max!F84</f>
        <v>18.471915663404374</v>
      </c>
      <c r="Q67" s="92">
        <f>Biomet_max!G115+Bioet_max!G84</f>
        <v>28.197559100535056</v>
      </c>
      <c r="R67" s="92">
        <f>Biomet_max!H115+Bioet_max!H84</f>
        <v>34.197559100535052</v>
      </c>
      <c r="S67" s="92">
        <f>Biomet_max!I115+Bioet_max!I84</f>
        <v>0</v>
      </c>
      <c r="T67" s="92">
        <f>Biomet_max!J115+Bioet_max!J84</f>
        <v>0</v>
      </c>
      <c r="U67" s="92">
        <f>Biomet_max!K115+Bioet_max!K84</f>
        <v>0</v>
      </c>
      <c r="V67" s="92">
        <f>Biomet_max!L115+Bioet_max!L84</f>
        <v>0</v>
      </c>
    </row>
    <row r="68" spans="2:22" x14ac:dyDescent="0.3">
      <c r="B68" s="238" t="s">
        <v>194</v>
      </c>
      <c r="C68" s="239" t="s">
        <v>181</v>
      </c>
      <c r="D68" s="239">
        <f t="shared" si="12"/>
        <v>9.5976653958825899</v>
      </c>
      <c r="E68" s="239">
        <f t="shared" si="13"/>
        <v>9.9676055668227601</v>
      </c>
      <c r="F68" s="239">
        <f t="shared" si="14"/>
        <v>20.862819667495021</v>
      </c>
      <c r="G68" s="239">
        <f t="shared" si="15"/>
        <v>20.862819667495017</v>
      </c>
      <c r="H68" s="239">
        <f t="shared" si="16"/>
        <v>0</v>
      </c>
      <c r="I68" s="239">
        <f t="shared" si="17"/>
        <v>0</v>
      </c>
      <c r="J68" s="239">
        <f t="shared" si="18"/>
        <v>0</v>
      </c>
      <c r="K68" s="239">
        <f t="shared" si="19"/>
        <v>0</v>
      </c>
      <c r="M68" s="184" t="s">
        <v>194</v>
      </c>
      <c r="N68" s="92" t="s">
        <v>181</v>
      </c>
      <c r="O68" s="92">
        <f>Biomet_max!E116+Bioet_max!E85</f>
        <v>9.5976653958825899</v>
      </c>
      <c r="P68" s="92">
        <f>Biomet_max!F116+Bioet_max!F85</f>
        <v>9.9676055668227601</v>
      </c>
      <c r="Q68" s="92">
        <f>Biomet_max!G116+Bioet_max!G85</f>
        <v>20.862819667495021</v>
      </c>
      <c r="R68" s="92">
        <f>Biomet_max!H116+Bioet_max!H85</f>
        <v>20.862819667495017</v>
      </c>
      <c r="S68" s="92">
        <f>Biomet_max!I116+Bioet_max!I85</f>
        <v>0</v>
      </c>
      <c r="T68" s="92">
        <f>Biomet_max!J116+Bioet_max!J85</f>
        <v>0</v>
      </c>
      <c r="U68" s="92">
        <f>Biomet_max!K116+Bioet_max!K85</f>
        <v>0</v>
      </c>
      <c r="V68" s="92">
        <f>Biomet_max!L116+Bioet_max!L85</f>
        <v>0</v>
      </c>
    </row>
    <row r="69" spans="2:22" x14ac:dyDescent="0.3">
      <c r="B69" s="183" t="s">
        <v>593</v>
      </c>
      <c r="C69" s="92" t="s">
        <v>181</v>
      </c>
      <c r="D69" s="92">
        <f t="shared" si="12"/>
        <v>4.054633065244289</v>
      </c>
      <c r="E69" s="92">
        <f t="shared" si="13"/>
        <v>152.7121058721099</v>
      </c>
      <c r="F69" s="92">
        <f t="shared" si="14"/>
        <v>141.2136550366356</v>
      </c>
      <c r="G69" s="92">
        <f t="shared" si="15"/>
        <v>255.02883320369074</v>
      </c>
      <c r="H69" s="92">
        <f t="shared" si="16"/>
        <v>311.47622080362805</v>
      </c>
      <c r="I69" s="92">
        <f t="shared" si="17"/>
        <v>359.26708855207124</v>
      </c>
      <c r="J69" s="92">
        <f t="shared" si="18"/>
        <v>404.71615170922684</v>
      </c>
      <c r="K69" s="92">
        <f t="shared" si="19"/>
        <v>463.4898112444273</v>
      </c>
      <c r="M69" s="182" t="s">
        <v>730</v>
      </c>
      <c r="N69" s="92" t="s">
        <v>181</v>
      </c>
      <c r="O69" s="92">
        <f>Biomet_max!E117+Bioet_max!E86</f>
        <v>4.054633065244289</v>
      </c>
      <c r="P69" s="92">
        <f>Biomet_max!F117+Bioet_max!F86</f>
        <v>152.7121058721099</v>
      </c>
      <c r="Q69" s="92">
        <f>Biomet_max!G117+Bioet_max!G86</f>
        <v>141.2136550366356</v>
      </c>
      <c r="R69" s="92">
        <f>Biomet_max!H117+Bioet_max!H86</f>
        <v>255.02883320369074</v>
      </c>
      <c r="S69" s="92">
        <f>Biomet_max!I117+Bioet_max!I86</f>
        <v>311.47622080362805</v>
      </c>
      <c r="T69" s="92">
        <f>Biomet_max!J117+Bioet_max!J86</f>
        <v>359.26708855207124</v>
      </c>
      <c r="U69" s="92">
        <f>Biomet_max!K117+Bioet_max!K86</f>
        <v>404.71615170922684</v>
      </c>
      <c r="V69" s="92">
        <f>Biomet_max!L117+Bioet_max!L86</f>
        <v>463.4898112444273</v>
      </c>
    </row>
    <row r="70" spans="2:22" x14ac:dyDescent="0.3">
      <c r="B70" s="183" t="s">
        <v>594</v>
      </c>
      <c r="C70" s="92" t="s">
        <v>181</v>
      </c>
      <c r="D70" s="92">
        <f t="shared" si="12"/>
        <v>15.360997874935169</v>
      </c>
      <c r="E70" s="92">
        <f t="shared" si="13"/>
        <v>48.235957831702187</v>
      </c>
      <c r="F70" s="92">
        <f t="shared" si="14"/>
        <v>14.098779550267528</v>
      </c>
      <c r="G70" s="92">
        <f t="shared" si="15"/>
        <v>63.89877955026752</v>
      </c>
      <c r="H70" s="92">
        <f t="shared" si="16"/>
        <v>0</v>
      </c>
      <c r="I70" s="92">
        <f t="shared" si="17"/>
        <v>0</v>
      </c>
      <c r="J70" s="92">
        <f t="shared" si="18"/>
        <v>0</v>
      </c>
      <c r="K70" s="92">
        <f t="shared" si="19"/>
        <v>0</v>
      </c>
      <c r="M70" s="183" t="s">
        <v>594</v>
      </c>
      <c r="N70" s="92" t="s">
        <v>181</v>
      </c>
      <c r="O70" s="92">
        <f>Biomet_max!E118+Bioet_max!E87</f>
        <v>15.360997874935169</v>
      </c>
      <c r="P70" s="92">
        <f>Biomet_max!F118+Bioet_max!F87</f>
        <v>48.235957831702187</v>
      </c>
      <c r="Q70" s="92">
        <f>Biomet_max!G118+Bioet_max!G87</f>
        <v>14.098779550267528</v>
      </c>
      <c r="R70" s="92">
        <f>Biomet_max!H118+Bioet_max!H87</f>
        <v>63.89877955026752</v>
      </c>
      <c r="S70" s="92">
        <f>Biomet_max!I118+Bioet_max!I87</f>
        <v>0</v>
      </c>
      <c r="T70" s="92">
        <f>Biomet_max!J118+Bioet_max!J87</f>
        <v>0</v>
      </c>
      <c r="U70" s="92">
        <f>Biomet_max!K118+Bioet_max!K87</f>
        <v>0</v>
      </c>
      <c r="V70" s="92">
        <f>Biomet_max!L118+Bioet_max!L87</f>
        <v>0</v>
      </c>
    </row>
    <row r="71" spans="2:22" x14ac:dyDescent="0.3">
      <c r="B71" s="183" t="s">
        <v>195</v>
      </c>
      <c r="C71" s="92"/>
      <c r="D71" s="92">
        <f t="shared" si="12"/>
        <v>0</v>
      </c>
      <c r="E71" s="92">
        <f t="shared" si="13"/>
        <v>0</v>
      </c>
      <c r="F71" s="92">
        <f t="shared" si="14"/>
        <v>0</v>
      </c>
      <c r="G71" s="92">
        <f t="shared" si="15"/>
        <v>0</v>
      </c>
      <c r="H71" s="92">
        <f t="shared" si="16"/>
        <v>0</v>
      </c>
      <c r="I71" s="92">
        <f t="shared" si="17"/>
        <v>0</v>
      </c>
      <c r="J71" s="92">
        <f t="shared" si="18"/>
        <v>0</v>
      </c>
      <c r="K71" s="92">
        <f t="shared" si="19"/>
        <v>0</v>
      </c>
      <c r="M71" s="183" t="s">
        <v>195</v>
      </c>
      <c r="N71" s="92"/>
      <c r="O71" s="92">
        <f>Biomet_max!E119+Bioet_max!E88</f>
        <v>0</v>
      </c>
      <c r="P71" s="92">
        <f>Biomet_max!F119+Bioet_max!F88</f>
        <v>0</v>
      </c>
      <c r="Q71" s="92">
        <f>Biomet_max!G119+Bioet_max!G88</f>
        <v>0</v>
      </c>
      <c r="R71" s="92">
        <f>Biomet_max!H119+Bioet_max!H88</f>
        <v>0</v>
      </c>
      <c r="S71" s="92">
        <f>Biomet_max!I119+Bioet_max!I88</f>
        <v>0</v>
      </c>
      <c r="T71" s="92">
        <f>Biomet_max!J119+Bioet_max!J88</f>
        <v>0</v>
      </c>
      <c r="U71" s="92">
        <f>Biomet_max!K119+Bioet_max!K88</f>
        <v>0</v>
      </c>
      <c r="V71" s="92">
        <f>Biomet_max!L119+Bioet_max!L88</f>
        <v>0</v>
      </c>
    </row>
    <row r="72" spans="2:22" x14ac:dyDescent="0.3">
      <c r="B72" s="184" t="s">
        <v>595</v>
      </c>
      <c r="C72" s="92" t="s">
        <v>196</v>
      </c>
      <c r="D72" s="207">
        <f t="shared" si="12"/>
        <v>8604.9303835331102</v>
      </c>
      <c r="E72" s="207">
        <f t="shared" si="13"/>
        <v>44458.806981587739</v>
      </c>
      <c r="F72" s="207">
        <f t="shared" si="14"/>
        <v>57366.202556887394</v>
      </c>
      <c r="G72" s="207">
        <f t="shared" si="15"/>
        <v>75436.556362306932</v>
      </c>
      <c r="H72" s="207">
        <f t="shared" si="16"/>
        <v>86049.303835331099</v>
      </c>
      <c r="I72" s="207">
        <f t="shared" si="17"/>
        <v>92933.248142157594</v>
      </c>
      <c r="J72" s="207">
        <f t="shared" si="18"/>
        <v>100390.85447455297</v>
      </c>
      <c r="K72" s="207">
        <f t="shared" si="19"/>
        <v>106356.93954046923</v>
      </c>
      <c r="M72" s="184" t="s">
        <v>595</v>
      </c>
      <c r="N72" s="92" t="s">
        <v>196</v>
      </c>
      <c r="O72" s="207">
        <f>Biomet_max!E120+Bioet_max!E89</f>
        <v>8604.9303835331102</v>
      </c>
      <c r="P72" s="207">
        <f>Biomet_max!F120+Bioet_max!F89</f>
        <v>44458.806981587739</v>
      </c>
      <c r="Q72" s="207">
        <f>Biomet_max!G120+Bioet_max!G89</f>
        <v>57366.202556887394</v>
      </c>
      <c r="R72" s="207">
        <f>Biomet_max!H120+Bioet_max!H89</f>
        <v>75436.556362306932</v>
      </c>
      <c r="S72" s="207">
        <f>Biomet_max!I120+Bioet_max!I89</f>
        <v>86049.303835331099</v>
      </c>
      <c r="T72" s="207">
        <f>Biomet_max!J120+Bioet_max!J89</f>
        <v>92933.248142157594</v>
      </c>
      <c r="U72" s="207">
        <f>Biomet_max!K120+Bioet_max!K89</f>
        <v>100390.85447455297</v>
      </c>
      <c r="V72" s="207">
        <f>Biomet_max!L120+Bioet_max!L89</f>
        <v>106356.93954046923</v>
      </c>
    </row>
    <row r="73" spans="2:22" x14ac:dyDescent="0.3">
      <c r="B73" s="184" t="s">
        <v>596</v>
      </c>
      <c r="C73" s="92" t="s">
        <v>65</v>
      </c>
      <c r="D73" s="92">
        <f t="shared" si="12"/>
        <v>1044</v>
      </c>
      <c r="E73" s="92">
        <f t="shared" si="13"/>
        <v>0</v>
      </c>
      <c r="F73" s="92">
        <f t="shared" si="14"/>
        <v>0</v>
      </c>
      <c r="G73" s="92">
        <f t="shared" si="15"/>
        <v>0</v>
      </c>
      <c r="H73" s="92">
        <f t="shared" si="16"/>
        <v>0</v>
      </c>
      <c r="I73" s="92">
        <f t="shared" si="17"/>
        <v>0</v>
      </c>
      <c r="J73" s="92">
        <f t="shared" si="18"/>
        <v>0</v>
      </c>
      <c r="K73" s="92">
        <f t="shared" si="19"/>
        <v>0</v>
      </c>
      <c r="M73" s="184" t="s">
        <v>596</v>
      </c>
      <c r="N73" s="92" t="s">
        <v>65</v>
      </c>
      <c r="O73" s="92">
        <f>Biomet_max!E121+Bioet_max!E90</f>
        <v>1080</v>
      </c>
      <c r="P73" s="92">
        <f>Biomet_max!F121+Bioet_max!F90</f>
        <v>8280</v>
      </c>
      <c r="Q73" s="92">
        <f>Biomet_max!G121+Bioet_max!G90</f>
        <v>9900</v>
      </c>
      <c r="R73" s="92">
        <f>Biomet_max!H121+Bioet_max!H90</f>
        <v>15408</v>
      </c>
      <c r="S73" s="92">
        <f>Biomet_max!I121+Bioet_max!I90</f>
        <v>16740</v>
      </c>
      <c r="T73" s="92">
        <f>Biomet_max!J121+Bioet_max!J90</f>
        <v>17604</v>
      </c>
      <c r="U73" s="92">
        <f>Biomet_max!K121+Bioet_max!K90</f>
        <v>18540</v>
      </c>
      <c r="V73" s="92">
        <f>Biomet_max!L121+Bioet_max!L90</f>
        <v>19288.800000000003</v>
      </c>
    </row>
    <row r="74" spans="2:22" x14ac:dyDescent="0.3">
      <c r="B74" s="183" t="s">
        <v>598</v>
      </c>
      <c r="C74" s="92" t="s">
        <v>235</v>
      </c>
      <c r="D74" s="92">
        <f t="shared" si="12"/>
        <v>19.440000000000001</v>
      </c>
      <c r="E74" s="92">
        <f t="shared" si="13"/>
        <v>289.44</v>
      </c>
      <c r="F74" s="92">
        <f t="shared" si="14"/>
        <v>318.60000000000002</v>
      </c>
      <c r="G74" s="92">
        <f t="shared" si="15"/>
        <v>586.22400000000005</v>
      </c>
      <c r="H74" s="92">
        <f t="shared" si="16"/>
        <v>610.20000000000005</v>
      </c>
      <c r="I74" s="92">
        <f t="shared" si="17"/>
        <v>625.75199999999995</v>
      </c>
      <c r="J74" s="92">
        <f t="shared" si="18"/>
        <v>642.6</v>
      </c>
      <c r="K74" s="92">
        <f t="shared" si="19"/>
        <v>656.0784000000001</v>
      </c>
      <c r="M74" s="183" t="s">
        <v>598</v>
      </c>
      <c r="N74" s="92" t="s">
        <v>235</v>
      </c>
      <c r="O74" s="92">
        <f>Biomet_max!E122+Bioet_max!E91</f>
        <v>19.440000000000001</v>
      </c>
      <c r="P74" s="92">
        <f>Biomet_max!F122+Bioet_max!F91</f>
        <v>289.44</v>
      </c>
      <c r="Q74" s="92">
        <f>Biomet_max!G122+Bioet_max!G91</f>
        <v>318.60000000000002</v>
      </c>
      <c r="R74" s="92">
        <f>Biomet_max!H122+Bioet_max!H91</f>
        <v>586.22400000000005</v>
      </c>
      <c r="S74" s="92">
        <f>Biomet_max!I122+Bioet_max!I91</f>
        <v>610.20000000000005</v>
      </c>
      <c r="T74" s="92">
        <f>Biomet_max!J122+Bioet_max!J91</f>
        <v>625.75199999999995</v>
      </c>
      <c r="U74" s="92">
        <f>Biomet_max!K122+Bioet_max!K91</f>
        <v>642.6</v>
      </c>
      <c r="V74" s="92">
        <f>Biomet_max!L122+Bioet_max!L91</f>
        <v>656.0784000000001</v>
      </c>
    </row>
    <row r="81" spans="1:2" x14ac:dyDescent="0.3">
      <c r="A81" s="236">
        <v>1</v>
      </c>
      <c r="B81" s="237" t="s">
        <v>647</v>
      </c>
    </row>
    <row r="82" spans="1:2" x14ac:dyDescent="0.3">
      <c r="A82" s="233">
        <v>2</v>
      </c>
      <c r="B82" s="234" t="s">
        <v>648</v>
      </c>
    </row>
    <row r="83" spans="1:2" x14ac:dyDescent="0.3">
      <c r="A83" s="233">
        <v>3</v>
      </c>
      <c r="B83" s="234" t="s">
        <v>649</v>
      </c>
    </row>
    <row r="84" spans="1:2" x14ac:dyDescent="0.3">
      <c r="A84" s="233">
        <v>4</v>
      </c>
      <c r="B84" s="234" t="s">
        <v>650</v>
      </c>
    </row>
    <row r="85" spans="1:2" x14ac:dyDescent="0.3">
      <c r="A85" s="233">
        <v>5</v>
      </c>
      <c r="B85" s="234" t="s">
        <v>651</v>
      </c>
    </row>
    <row r="86" spans="1:2" x14ac:dyDescent="0.3">
      <c r="A86" s="233">
        <v>6</v>
      </c>
      <c r="B86" s="234" t="s">
        <v>652</v>
      </c>
    </row>
    <row r="87" spans="1:2" x14ac:dyDescent="0.3">
      <c r="A87" s="233">
        <v>7</v>
      </c>
      <c r="B87" s="234" t="s">
        <v>653</v>
      </c>
    </row>
    <row r="88" spans="1:2" x14ac:dyDescent="0.3">
      <c r="A88" s="233">
        <v>8</v>
      </c>
      <c r="B88" s="234" t="s">
        <v>654</v>
      </c>
    </row>
    <row r="89" spans="1:2" x14ac:dyDescent="0.3">
      <c r="A89" s="233">
        <v>9</v>
      </c>
      <c r="B89" s="234" t="s">
        <v>655</v>
      </c>
    </row>
    <row r="90" spans="1:2" x14ac:dyDescent="0.3">
      <c r="A90" s="233">
        <v>10</v>
      </c>
      <c r="B90" s="234" t="s">
        <v>656</v>
      </c>
    </row>
    <row r="91" spans="1:2" x14ac:dyDescent="0.3">
      <c r="A91" s="233">
        <v>11</v>
      </c>
      <c r="B91" s="234" t="s">
        <v>657</v>
      </c>
    </row>
    <row r="92" spans="1:2" x14ac:dyDescent="0.3">
      <c r="A92" s="233">
        <v>12</v>
      </c>
      <c r="B92" s="234" t="s">
        <v>658</v>
      </c>
    </row>
    <row r="93" spans="1:2" x14ac:dyDescent="0.3">
      <c r="A93" s="233">
        <v>13</v>
      </c>
      <c r="B93" s="234" t="s">
        <v>659</v>
      </c>
    </row>
    <row r="94" spans="1:2" x14ac:dyDescent="0.3">
      <c r="A94" s="233">
        <v>14</v>
      </c>
      <c r="B94" s="234" t="s">
        <v>660</v>
      </c>
    </row>
    <row r="95" spans="1:2" x14ac:dyDescent="0.3">
      <c r="A95" s="233">
        <v>15</v>
      </c>
      <c r="B95" s="234" t="s">
        <v>661</v>
      </c>
    </row>
    <row r="96" spans="1:2" x14ac:dyDescent="0.3">
      <c r="A96" s="233">
        <v>16</v>
      </c>
      <c r="B96" s="234" t="s">
        <v>662</v>
      </c>
    </row>
    <row r="97" spans="1:2" x14ac:dyDescent="0.3">
      <c r="A97" s="233">
        <v>17</v>
      </c>
      <c r="B97" s="234" t="s">
        <v>663</v>
      </c>
    </row>
    <row r="98" spans="1:2" x14ac:dyDescent="0.3">
      <c r="A98" s="233">
        <v>18</v>
      </c>
      <c r="B98" s="234" t="s">
        <v>664</v>
      </c>
    </row>
    <row r="99" spans="1:2" x14ac:dyDescent="0.3">
      <c r="A99" s="236">
        <v>19</v>
      </c>
      <c r="B99" s="237" t="s">
        <v>665</v>
      </c>
    </row>
    <row r="100" spans="1:2" x14ac:dyDescent="0.3">
      <c r="A100" s="233">
        <v>20</v>
      </c>
      <c r="B100" s="234" t="s">
        <v>666</v>
      </c>
    </row>
    <row r="101" spans="1:2" x14ac:dyDescent="0.3">
      <c r="A101" s="233">
        <v>21</v>
      </c>
      <c r="B101" s="234" t="s">
        <v>667</v>
      </c>
    </row>
    <row r="102" spans="1:2" x14ac:dyDescent="0.3">
      <c r="A102" s="233">
        <v>22</v>
      </c>
      <c r="B102" s="234" t="s">
        <v>668</v>
      </c>
    </row>
    <row r="103" spans="1:2" x14ac:dyDescent="0.3">
      <c r="A103" s="236">
        <v>23</v>
      </c>
      <c r="B103" s="237" t="s">
        <v>669</v>
      </c>
    </row>
    <row r="104" spans="1:2" x14ac:dyDescent="0.3">
      <c r="A104" s="233">
        <v>24</v>
      </c>
      <c r="B104" s="235" t="s">
        <v>670</v>
      </c>
    </row>
    <row r="105" spans="1:2" x14ac:dyDescent="0.3">
      <c r="A105" s="233">
        <v>25</v>
      </c>
      <c r="B105" s="235" t="s">
        <v>671</v>
      </c>
    </row>
    <row r="106" spans="1:2" x14ac:dyDescent="0.3">
      <c r="A106" s="233">
        <v>26</v>
      </c>
      <c r="B106" s="235" t="s">
        <v>672</v>
      </c>
    </row>
    <row r="107" spans="1:2" x14ac:dyDescent="0.3">
      <c r="A107" s="233">
        <v>27</v>
      </c>
      <c r="B107" s="234" t="s">
        <v>673</v>
      </c>
    </row>
    <row r="108" spans="1:2" x14ac:dyDescent="0.3">
      <c r="A108" s="233">
        <v>28</v>
      </c>
      <c r="B108" s="234" t="s">
        <v>674</v>
      </c>
    </row>
    <row r="109" spans="1:2" x14ac:dyDescent="0.3">
      <c r="A109" s="236">
        <v>29</v>
      </c>
      <c r="B109" s="237" t="s">
        <v>675</v>
      </c>
    </row>
    <row r="110" spans="1:2" x14ac:dyDescent="0.3">
      <c r="A110" s="233">
        <v>30</v>
      </c>
      <c r="B110" s="234" t="s">
        <v>676</v>
      </c>
    </row>
    <row r="111" spans="1:2" x14ac:dyDescent="0.3">
      <c r="A111" s="233">
        <v>31</v>
      </c>
      <c r="B111" s="234" t="s">
        <v>677</v>
      </c>
    </row>
    <row r="112" spans="1:2" x14ac:dyDescent="0.3">
      <c r="A112" s="233">
        <v>32</v>
      </c>
      <c r="B112" s="234" t="s">
        <v>678</v>
      </c>
    </row>
    <row r="113" spans="1:2" x14ac:dyDescent="0.3">
      <c r="A113" s="236">
        <v>33</v>
      </c>
      <c r="B113" s="237" t="s">
        <v>679</v>
      </c>
    </row>
    <row r="114" spans="1:2" x14ac:dyDescent="0.3">
      <c r="A114" s="233">
        <v>34</v>
      </c>
      <c r="B114" s="234" t="s">
        <v>680</v>
      </c>
    </row>
    <row r="115" spans="1:2" x14ac:dyDescent="0.3">
      <c r="A115" s="233">
        <v>35</v>
      </c>
      <c r="B115" s="234" t="s">
        <v>681</v>
      </c>
    </row>
    <row r="116" spans="1:2" x14ac:dyDescent="0.3">
      <c r="A116" s="233">
        <v>36</v>
      </c>
      <c r="B116" s="234" t="s">
        <v>682</v>
      </c>
    </row>
    <row r="117" spans="1:2" x14ac:dyDescent="0.3">
      <c r="A117" s="233">
        <v>37</v>
      </c>
      <c r="B117" s="234" t="s">
        <v>683</v>
      </c>
    </row>
    <row r="118" spans="1:2" x14ac:dyDescent="0.3">
      <c r="A118" s="233">
        <v>38</v>
      </c>
      <c r="B118" s="234" t="s">
        <v>684</v>
      </c>
    </row>
    <row r="119" spans="1:2" x14ac:dyDescent="0.3">
      <c r="A119" s="233">
        <v>39</v>
      </c>
      <c r="B119" s="234" t="s">
        <v>685</v>
      </c>
    </row>
    <row r="120" spans="1:2" x14ac:dyDescent="0.3">
      <c r="A120" s="233">
        <v>40</v>
      </c>
      <c r="B120" s="234" t="s">
        <v>686</v>
      </c>
    </row>
    <row r="121" spans="1:2" x14ac:dyDescent="0.3">
      <c r="A121" s="233">
        <v>41</v>
      </c>
      <c r="B121" s="234" t="s">
        <v>687</v>
      </c>
    </row>
    <row r="122" spans="1:2" x14ac:dyDescent="0.3">
      <c r="A122" s="233">
        <v>42</v>
      </c>
      <c r="B122" s="234" t="s">
        <v>688</v>
      </c>
    </row>
    <row r="123" spans="1:2" x14ac:dyDescent="0.3">
      <c r="A123" s="233">
        <v>43</v>
      </c>
      <c r="B123" s="234" t="s">
        <v>689</v>
      </c>
    </row>
    <row r="124" spans="1:2" x14ac:dyDescent="0.3">
      <c r="A124" s="233">
        <v>44</v>
      </c>
      <c r="B124" s="234" t="s">
        <v>690</v>
      </c>
    </row>
    <row r="125" spans="1:2" x14ac:dyDescent="0.3">
      <c r="A125" s="233">
        <v>45</v>
      </c>
      <c r="B125" s="234" t="s">
        <v>691</v>
      </c>
    </row>
    <row r="126" spans="1:2" x14ac:dyDescent="0.3">
      <c r="A126" s="233">
        <v>46</v>
      </c>
      <c r="B126" s="234" t="s">
        <v>692</v>
      </c>
    </row>
    <row r="127" spans="1:2" x14ac:dyDescent="0.3">
      <c r="A127" s="233">
        <v>47</v>
      </c>
      <c r="B127" s="234" t="s">
        <v>693</v>
      </c>
    </row>
    <row r="128" spans="1:2" x14ac:dyDescent="0.3">
      <c r="A128" s="233">
        <v>48</v>
      </c>
      <c r="B128" s="234" t="s">
        <v>694</v>
      </c>
    </row>
    <row r="129" spans="1:2" x14ac:dyDescent="0.3">
      <c r="A129" s="233">
        <v>49</v>
      </c>
      <c r="B129" s="234" t="s">
        <v>695</v>
      </c>
    </row>
    <row r="130" spans="1:2" x14ac:dyDescent="0.3">
      <c r="A130" s="233">
        <v>50</v>
      </c>
      <c r="B130" s="234" t="s">
        <v>696</v>
      </c>
    </row>
    <row r="131" spans="1:2" x14ac:dyDescent="0.3">
      <c r="A131" s="233">
        <v>51</v>
      </c>
      <c r="B131" s="234" t="s">
        <v>697</v>
      </c>
    </row>
    <row r="132" spans="1:2" x14ac:dyDescent="0.3">
      <c r="A132" s="233">
        <v>52</v>
      </c>
      <c r="B132" s="234" t="s">
        <v>698</v>
      </c>
    </row>
    <row r="133" spans="1:2" x14ac:dyDescent="0.3">
      <c r="A133" s="233">
        <v>53</v>
      </c>
      <c r="B133" s="234" t="s">
        <v>699</v>
      </c>
    </row>
    <row r="134" spans="1:2" x14ac:dyDescent="0.3">
      <c r="A134" s="233">
        <v>54</v>
      </c>
      <c r="B134" s="234" t="s">
        <v>700</v>
      </c>
    </row>
    <row r="135" spans="1:2" x14ac:dyDescent="0.3">
      <c r="A135" s="236">
        <v>55</v>
      </c>
      <c r="B135" s="237" t="s">
        <v>701</v>
      </c>
    </row>
    <row r="136" spans="1:2" x14ac:dyDescent="0.3">
      <c r="A136" s="233">
        <v>56</v>
      </c>
      <c r="B136" s="234" t="s">
        <v>702</v>
      </c>
    </row>
    <row r="137" spans="1:2" x14ac:dyDescent="0.3">
      <c r="A137" s="233">
        <v>57</v>
      </c>
      <c r="B137" s="234" t="s">
        <v>703</v>
      </c>
    </row>
    <row r="138" spans="1:2" x14ac:dyDescent="0.3">
      <c r="A138" s="233">
        <v>58</v>
      </c>
      <c r="B138" s="234" t="s">
        <v>704</v>
      </c>
    </row>
    <row r="139" spans="1:2" x14ac:dyDescent="0.3">
      <c r="A139" s="233">
        <v>59</v>
      </c>
      <c r="B139" s="234" t="s">
        <v>705</v>
      </c>
    </row>
    <row r="140" spans="1:2" x14ac:dyDescent="0.3">
      <c r="A140" s="233">
        <v>60</v>
      </c>
      <c r="B140" s="234" t="s">
        <v>706</v>
      </c>
    </row>
    <row r="141" spans="1:2" x14ac:dyDescent="0.3">
      <c r="A141" s="233">
        <v>61</v>
      </c>
      <c r="B141" s="234" t="s">
        <v>707</v>
      </c>
    </row>
    <row r="142" spans="1:2" x14ac:dyDescent="0.3">
      <c r="A142" s="233">
        <v>62</v>
      </c>
      <c r="B142" s="234" t="s">
        <v>708</v>
      </c>
    </row>
    <row r="143" spans="1:2" x14ac:dyDescent="0.3">
      <c r="A143" s="233">
        <v>63</v>
      </c>
      <c r="B143" s="234" t="s">
        <v>709</v>
      </c>
    </row>
    <row r="144" spans="1:2" x14ac:dyDescent="0.3">
      <c r="A144" s="233">
        <v>64</v>
      </c>
      <c r="B144" s="234" t="s">
        <v>710</v>
      </c>
    </row>
    <row r="145" spans="1:2" x14ac:dyDescent="0.3">
      <c r="A145" s="233">
        <v>65</v>
      </c>
      <c r="B145" s="234" t="s">
        <v>711</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election activeCell="H5" sqref="H5"/>
    </sheetView>
  </sheetViews>
  <sheetFormatPr defaultColWidth="17.109375" defaultRowHeight="13.2" x14ac:dyDescent="0.25"/>
  <cols>
    <col min="1" max="1" width="4.77734375" customWidth="1"/>
    <col min="2" max="2" width="18.33203125" style="88" customWidth="1"/>
    <col min="3" max="3" width="30.44140625" style="88" customWidth="1"/>
    <col min="4" max="4" width="11.44140625" style="88" customWidth="1"/>
    <col min="5" max="5" width="31" style="88" customWidth="1"/>
    <col min="6" max="6" width="11.44140625" style="88" customWidth="1"/>
  </cols>
  <sheetData>
    <row r="1" spans="1:7" x14ac:dyDescent="0.25">
      <c r="B1" s="87"/>
      <c r="C1" s="87"/>
      <c r="D1" s="87"/>
      <c r="E1" s="87"/>
      <c r="F1" s="87"/>
    </row>
    <row r="2" spans="1:7" x14ac:dyDescent="0.25">
      <c r="A2" s="56"/>
      <c r="B2" s="146"/>
      <c r="C2" s="147" t="s">
        <v>13</v>
      </c>
      <c r="D2" s="147"/>
      <c r="E2" s="147" t="s">
        <v>17</v>
      </c>
      <c r="F2" s="147"/>
      <c r="G2" s="49"/>
    </row>
    <row r="3" spans="1:7" ht="20.399999999999999" x14ac:dyDescent="0.25">
      <c r="A3" s="56"/>
      <c r="B3" s="148" t="s">
        <v>38</v>
      </c>
      <c r="C3" s="148" t="s">
        <v>39</v>
      </c>
      <c r="D3" s="148" t="s">
        <v>40</v>
      </c>
      <c r="E3" s="148" t="s">
        <v>39</v>
      </c>
      <c r="F3" s="148" t="s">
        <v>40</v>
      </c>
      <c r="G3" s="49"/>
    </row>
    <row r="4" spans="1:7" ht="30.6" x14ac:dyDescent="0.25">
      <c r="A4" s="56"/>
      <c r="B4" s="149" t="s">
        <v>41</v>
      </c>
      <c r="C4" s="150" t="s">
        <v>42</v>
      </c>
      <c r="D4" s="151">
        <v>120</v>
      </c>
      <c r="E4" s="150" t="s">
        <v>43</v>
      </c>
      <c r="F4" s="151" t="s">
        <v>44</v>
      </c>
      <c r="G4" s="49"/>
    </row>
    <row r="5" spans="1:7" ht="30.6" x14ac:dyDescent="0.25">
      <c r="A5" s="56"/>
      <c r="B5" s="149"/>
      <c r="C5" s="150" t="s">
        <v>45</v>
      </c>
      <c r="D5" s="151"/>
      <c r="E5" s="150" t="s">
        <v>46</v>
      </c>
      <c r="F5" s="151"/>
      <c r="G5" s="49"/>
    </row>
    <row r="6" spans="1:7" ht="20.399999999999999" x14ac:dyDescent="0.25">
      <c r="A6" s="56"/>
      <c r="B6" s="149"/>
      <c r="C6" s="150"/>
      <c r="D6" s="151"/>
      <c r="E6" s="150" t="s">
        <v>47</v>
      </c>
      <c r="F6" s="151"/>
      <c r="G6" s="49"/>
    </row>
    <row r="7" spans="1:7" ht="30.6" x14ac:dyDescent="0.25">
      <c r="A7" s="56"/>
      <c r="B7" s="149" t="s">
        <v>48</v>
      </c>
      <c r="C7" s="150" t="s">
        <v>49</v>
      </c>
      <c r="D7" s="151">
        <v>-271</v>
      </c>
      <c r="E7" s="150" t="s">
        <v>50</v>
      </c>
      <c r="F7" s="151">
        <v>-120</v>
      </c>
      <c r="G7" s="49"/>
    </row>
    <row r="8" spans="1:7" ht="20.399999999999999" x14ac:dyDescent="0.25">
      <c r="A8" s="56"/>
      <c r="B8" s="149"/>
      <c r="C8" s="150" t="s">
        <v>51</v>
      </c>
      <c r="D8" s="151"/>
      <c r="E8" s="150"/>
      <c r="F8" s="151"/>
      <c r="G8" s="49"/>
    </row>
    <row r="9" spans="1:7" ht="20.399999999999999" x14ac:dyDescent="0.25">
      <c r="A9" s="56"/>
      <c r="B9" s="149" t="s">
        <v>52</v>
      </c>
      <c r="C9" s="150" t="s">
        <v>53</v>
      </c>
      <c r="D9" s="151">
        <v>1200</v>
      </c>
      <c r="E9" s="150" t="s">
        <v>54</v>
      </c>
      <c r="F9" s="151">
        <v>170</v>
      </c>
      <c r="G9" s="49"/>
    </row>
    <row r="10" spans="1:7" ht="20.399999999999999" x14ac:dyDescent="0.25">
      <c r="A10" s="56"/>
      <c r="B10" s="149"/>
      <c r="C10" s="150" t="s">
        <v>55</v>
      </c>
      <c r="D10" s="151"/>
      <c r="E10" s="150" t="s">
        <v>56</v>
      </c>
      <c r="F10" s="151"/>
      <c r="G10" s="49"/>
    </row>
    <row r="11" spans="1:7" x14ac:dyDescent="0.25">
      <c r="A11" s="56"/>
      <c r="B11" s="149"/>
      <c r="C11" s="150" t="s">
        <v>57</v>
      </c>
      <c r="D11" s="151"/>
      <c r="E11" s="150" t="s">
        <v>58</v>
      </c>
      <c r="F11" s="151"/>
      <c r="G11" s="49"/>
    </row>
    <row r="12" spans="1:7" x14ac:dyDescent="0.25">
      <c r="B12" s="965" t="s">
        <v>59</v>
      </c>
      <c r="C12" s="965"/>
      <c r="D12" s="965"/>
      <c r="E12" s="965"/>
      <c r="F12" s="965"/>
    </row>
  </sheetData>
  <mergeCells count="1">
    <mergeCell ref="B12:F12"/>
  </mergeCell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6"/>
  <sheetViews>
    <sheetView topLeftCell="A131" zoomScale="125" zoomScaleNormal="125" zoomScalePageLayoutView="125" workbookViewId="0">
      <selection activeCell="C140" sqref="C140"/>
    </sheetView>
  </sheetViews>
  <sheetFormatPr defaultColWidth="17.109375" defaultRowHeight="12.75" customHeight="1" x14ac:dyDescent="0.25"/>
  <cols>
    <col min="1" max="1" width="51" customWidth="1"/>
    <col min="2" max="2" width="48.44140625" customWidth="1"/>
    <col min="3" max="3" width="35.44140625" customWidth="1"/>
  </cols>
  <sheetData>
    <row r="2" spans="2:7" ht="12.75" customHeight="1" x14ac:dyDescent="0.25">
      <c r="C2" t="s">
        <v>334</v>
      </c>
      <c r="D2" t="s">
        <v>335</v>
      </c>
      <c r="E2" t="s">
        <v>336</v>
      </c>
      <c r="F2" t="s">
        <v>282</v>
      </c>
      <c r="G2" t="s">
        <v>337</v>
      </c>
    </row>
    <row r="3" spans="2:7" ht="12.75" customHeight="1" x14ac:dyDescent="0.25">
      <c r="B3" t="s">
        <v>338</v>
      </c>
      <c r="C3">
        <v>17000000</v>
      </c>
      <c r="D3">
        <v>60000000</v>
      </c>
      <c r="E3">
        <v>40000000</v>
      </c>
      <c r="F3">
        <v>117000000</v>
      </c>
      <c r="G3">
        <v>7800000</v>
      </c>
    </row>
    <row r="4" spans="2:7" ht="12.75" customHeight="1" x14ac:dyDescent="0.25">
      <c r="B4" t="s">
        <v>339</v>
      </c>
      <c r="C4">
        <v>13</v>
      </c>
      <c r="D4">
        <v>47</v>
      </c>
      <c r="E4">
        <v>32</v>
      </c>
      <c r="F4">
        <v>92</v>
      </c>
      <c r="G4">
        <v>0</v>
      </c>
    </row>
    <row r="5" spans="2:7" ht="12.75" customHeight="1" x14ac:dyDescent="0.25">
      <c r="B5" t="s">
        <v>340</v>
      </c>
      <c r="C5">
        <v>9714</v>
      </c>
      <c r="D5">
        <v>1714</v>
      </c>
      <c r="E5">
        <v>1000</v>
      </c>
      <c r="F5">
        <v>12429</v>
      </c>
      <c r="G5">
        <v>153</v>
      </c>
    </row>
    <row r="6" spans="2:7" ht="12.75" customHeight="1" x14ac:dyDescent="0.25">
      <c r="B6" t="s">
        <v>342</v>
      </c>
      <c r="C6">
        <v>0.02</v>
      </c>
      <c r="D6">
        <v>0.06</v>
      </c>
      <c r="E6">
        <v>0.26</v>
      </c>
    </row>
    <row r="9" spans="2:7" ht="12.75" customHeight="1" x14ac:dyDescent="0.25">
      <c r="B9" t="s">
        <v>462</v>
      </c>
    </row>
    <row r="10" spans="2:7" ht="12.75" customHeight="1" x14ac:dyDescent="0.25">
      <c r="B10" t="s">
        <v>463</v>
      </c>
    </row>
    <row r="11" spans="2:7" ht="12.75" customHeight="1" x14ac:dyDescent="0.25">
      <c r="B11" t="s">
        <v>464</v>
      </c>
    </row>
    <row r="12" spans="2:7" ht="12.75" customHeight="1" x14ac:dyDescent="0.25">
      <c r="B12" t="s">
        <v>7</v>
      </c>
    </row>
    <row r="13" spans="2:7" ht="12.75" customHeight="1" x14ac:dyDescent="0.25">
      <c r="B13" t="s">
        <v>378</v>
      </c>
    </row>
    <row r="14" spans="2:7" ht="12.75" customHeight="1" x14ac:dyDescent="0.25">
      <c r="C14">
        <v>1</v>
      </c>
    </row>
    <row r="15" spans="2:7" ht="12.75" customHeight="1" x14ac:dyDescent="0.25">
      <c r="C15">
        <v>0.83199999999999996</v>
      </c>
    </row>
    <row r="16" spans="2:7" ht="12.75" customHeight="1" x14ac:dyDescent="0.25">
      <c r="C16" s="16">
        <f>C14/C15</f>
        <v>1.2019230769230769</v>
      </c>
    </row>
    <row r="17" spans="2:3" ht="12.75" customHeight="1" x14ac:dyDescent="0.25">
      <c r="C17">
        <v>50</v>
      </c>
    </row>
    <row r="18" spans="2:3" ht="12.75" customHeight="1" x14ac:dyDescent="0.25">
      <c r="C18">
        <f>C17/C16</f>
        <v>41.6</v>
      </c>
    </row>
    <row r="19" spans="2:3" ht="12.75" customHeight="1" x14ac:dyDescent="0.25">
      <c r="C19">
        <v>43</v>
      </c>
    </row>
    <row r="20" spans="2:3" ht="12.75" customHeight="1" x14ac:dyDescent="0.25">
      <c r="C20">
        <v>36</v>
      </c>
    </row>
    <row r="21" spans="2:3" ht="12.75" customHeight="1" x14ac:dyDescent="0.25">
      <c r="C21" s="16">
        <f>C19/C20</f>
        <v>1.1944444444444444</v>
      </c>
    </row>
    <row r="22" spans="2:3" ht="12.75" customHeight="1" x14ac:dyDescent="0.25">
      <c r="C22" s="16">
        <f>(C17/C16)/C21</f>
        <v>34.827906976744188</v>
      </c>
    </row>
    <row r="24" spans="2:3" ht="12.75" customHeight="1" x14ac:dyDescent="0.25">
      <c r="C24">
        <v>32</v>
      </c>
    </row>
    <row r="25" spans="2:3" ht="12.75" customHeight="1" x14ac:dyDescent="0.25">
      <c r="C25" s="16">
        <f>C19/C24</f>
        <v>1.34375</v>
      </c>
    </row>
    <row r="26" spans="2:3" ht="12.75" customHeight="1" x14ac:dyDescent="0.25">
      <c r="C26" s="16">
        <f>(C17/C16)/C25</f>
        <v>30.958139534883721</v>
      </c>
    </row>
    <row r="28" spans="2:3" ht="12.75" customHeight="1" x14ac:dyDescent="0.25">
      <c r="B28" t="s">
        <v>465</v>
      </c>
    </row>
    <row r="29" spans="2:3" ht="12.75" customHeight="1" x14ac:dyDescent="0.25">
      <c r="B29" t="s">
        <v>466</v>
      </c>
    </row>
    <row r="30" spans="2:3" ht="12.75" customHeight="1" x14ac:dyDescent="0.25">
      <c r="B30" t="s">
        <v>467</v>
      </c>
    </row>
    <row r="31" spans="2:3" ht="12.75" customHeight="1" x14ac:dyDescent="0.25">
      <c r="B31" t="s">
        <v>468</v>
      </c>
    </row>
    <row r="32" spans="2:3" ht="12.75" customHeight="1" x14ac:dyDescent="0.25">
      <c r="B32" t="s">
        <v>469</v>
      </c>
    </row>
    <row r="33" spans="2:8" ht="12.75" customHeight="1" x14ac:dyDescent="0.25">
      <c r="B33" t="s">
        <v>470</v>
      </c>
    </row>
    <row r="34" spans="2:8" ht="12.75" customHeight="1" x14ac:dyDescent="0.25">
      <c r="B34" t="s">
        <v>471</v>
      </c>
    </row>
    <row r="35" spans="2:8" ht="12.75" customHeight="1" x14ac:dyDescent="0.25">
      <c r="B35" t="s">
        <v>472</v>
      </c>
      <c r="C35" t="s">
        <v>473</v>
      </c>
      <c r="D35" t="s">
        <v>102</v>
      </c>
      <c r="E35">
        <v>83000000</v>
      </c>
      <c r="F35" t="s">
        <v>474</v>
      </c>
    </row>
    <row r="36" spans="2:8" ht="12.75" customHeight="1" x14ac:dyDescent="0.25">
      <c r="B36" t="s">
        <v>472</v>
      </c>
      <c r="C36" t="s">
        <v>475</v>
      </c>
      <c r="D36">
        <v>677.2</v>
      </c>
      <c r="E36">
        <v>100000</v>
      </c>
      <c r="F36" t="s">
        <v>476</v>
      </c>
    </row>
    <row r="37" spans="2:8" ht="12.75" customHeight="1" x14ac:dyDescent="0.25">
      <c r="B37" t="s">
        <v>472</v>
      </c>
      <c r="C37" t="s">
        <v>477</v>
      </c>
      <c r="D37">
        <v>1.1000000000000001</v>
      </c>
      <c r="E37">
        <f>E35/E36</f>
        <v>830</v>
      </c>
      <c r="F37" t="s">
        <v>478</v>
      </c>
    </row>
    <row r="38" spans="2:8" ht="12.75" customHeight="1" x14ac:dyDescent="0.25">
      <c r="B38" t="s">
        <v>472</v>
      </c>
      <c r="C38" t="s">
        <v>479</v>
      </c>
      <c r="D38" s="16">
        <v>85500400</v>
      </c>
    </row>
    <row r="39" spans="2:8" ht="12.75" customHeight="1" x14ac:dyDescent="0.25">
      <c r="B39" t="s">
        <v>472</v>
      </c>
      <c r="C39" t="s">
        <v>480</v>
      </c>
      <c r="D39" s="16">
        <v>100000</v>
      </c>
    </row>
    <row r="40" spans="2:8" ht="12.75" customHeight="1" x14ac:dyDescent="0.25">
      <c r="B40" t="s">
        <v>472</v>
      </c>
      <c r="C40" t="s">
        <v>481</v>
      </c>
      <c r="D40" s="16">
        <f>(D38/D39)/1000</f>
        <v>0.85500399999999999</v>
      </c>
      <c r="E40" t="s">
        <v>247</v>
      </c>
    </row>
    <row r="41" spans="2:8" ht="12.75" customHeight="1" x14ac:dyDescent="0.25">
      <c r="B41" t="s">
        <v>472</v>
      </c>
      <c r="C41" t="s">
        <v>482</v>
      </c>
      <c r="D41">
        <v>0.8</v>
      </c>
    </row>
    <row r="42" spans="2:8" ht="12.75" customHeight="1" x14ac:dyDescent="0.25">
      <c r="B42" t="s">
        <v>472</v>
      </c>
      <c r="C42" t="s">
        <v>483</v>
      </c>
      <c r="D42" s="303">
        <f>D40*D41</f>
        <v>0.68400320000000003</v>
      </c>
      <c r="E42" t="s">
        <v>268</v>
      </c>
    </row>
    <row r="43" spans="2:8" ht="12.75" customHeight="1" x14ac:dyDescent="0.25">
      <c r="B43" t="s">
        <v>484</v>
      </c>
    </row>
    <row r="44" spans="2:8" ht="12.75" customHeight="1" x14ac:dyDescent="0.25">
      <c r="B44" t="s">
        <v>485</v>
      </c>
      <c r="C44" s="67">
        <f>0.055+0.252</f>
        <v>0.307</v>
      </c>
      <c r="F44">
        <f>(4.3+9.1)/2</f>
        <v>6.6999999999999993</v>
      </c>
      <c r="G44">
        <f>(2.9+7.6)/2</f>
        <v>5.25</v>
      </c>
      <c r="H44">
        <f>(5.4+7.6)/2</f>
        <v>6.5</v>
      </c>
    </row>
    <row r="45" spans="2:8" ht="12.75" customHeight="1" x14ac:dyDescent="0.25">
      <c r="B45" s="84">
        <v>100000</v>
      </c>
      <c r="C45" t="s">
        <v>214</v>
      </c>
      <c r="D45">
        <f>B47/B45</f>
        <v>1234.5999999999999</v>
      </c>
      <c r="E45" t="s">
        <v>486</v>
      </c>
      <c r="F45" t="s">
        <v>487</v>
      </c>
      <c r="G45" t="s">
        <v>488</v>
      </c>
      <c r="H45" t="s">
        <v>489</v>
      </c>
    </row>
    <row r="46" spans="2:8" ht="12.75" customHeight="1" x14ac:dyDescent="0.25">
      <c r="B46" s="84">
        <v>123460</v>
      </c>
      <c r="C46" t="s">
        <v>490</v>
      </c>
      <c r="E46" t="s">
        <v>491</v>
      </c>
      <c r="F46" t="s">
        <v>492</v>
      </c>
      <c r="G46" t="s">
        <v>493</v>
      </c>
      <c r="H46" t="s">
        <v>494</v>
      </c>
    </row>
    <row r="47" spans="2:8" ht="12.75" customHeight="1" x14ac:dyDescent="0.25">
      <c r="B47" s="84">
        <f>B46*1000</f>
        <v>123460000</v>
      </c>
      <c r="C47" t="s">
        <v>495</v>
      </c>
      <c r="E47" t="s">
        <v>496</v>
      </c>
      <c r="F47" t="s">
        <v>497</v>
      </c>
      <c r="G47" t="s">
        <v>498</v>
      </c>
      <c r="H47" t="s">
        <v>499</v>
      </c>
    </row>
    <row r="48" spans="2:8" ht="12.75" customHeight="1" x14ac:dyDescent="0.25">
      <c r="B48">
        <v>8000</v>
      </c>
      <c r="C48" t="s">
        <v>500</v>
      </c>
      <c r="E48" t="s">
        <v>501</v>
      </c>
      <c r="F48" t="s">
        <v>502</v>
      </c>
      <c r="G48" t="s">
        <v>503</v>
      </c>
      <c r="H48" t="s">
        <v>504</v>
      </c>
    </row>
    <row r="49" spans="2:9" ht="12.75" customHeight="1" x14ac:dyDescent="0.25">
      <c r="B49">
        <f>B45/B48</f>
        <v>12.5</v>
      </c>
      <c r="C49" t="s">
        <v>505</v>
      </c>
      <c r="E49" t="s">
        <v>506</v>
      </c>
      <c r="F49" t="s">
        <v>507</v>
      </c>
      <c r="G49" t="s">
        <v>508</v>
      </c>
      <c r="H49" t="s">
        <v>509</v>
      </c>
    </row>
    <row r="50" spans="2:9" ht="12.75" customHeight="1" x14ac:dyDescent="0.25">
      <c r="B50" s="84">
        <f>B47/B48</f>
        <v>15432.5</v>
      </c>
      <c r="C50" t="s">
        <v>510</v>
      </c>
      <c r="E50" t="s">
        <v>511</v>
      </c>
      <c r="F50" t="s">
        <v>512</v>
      </c>
      <c r="G50" t="s">
        <v>513</v>
      </c>
      <c r="H50" t="s">
        <v>514</v>
      </c>
    </row>
    <row r="51" spans="2:9" ht="12.75" customHeight="1" x14ac:dyDescent="0.25">
      <c r="B51">
        <v>24</v>
      </c>
      <c r="E51" t="s">
        <v>515</v>
      </c>
      <c r="F51" t="s">
        <v>516</v>
      </c>
      <c r="G51" t="s">
        <v>517</v>
      </c>
      <c r="H51" t="s">
        <v>518</v>
      </c>
    </row>
    <row r="52" spans="2:9" ht="12.75" customHeight="1" x14ac:dyDescent="0.25">
      <c r="B52" s="84">
        <f>B50*B51</f>
        <v>370380</v>
      </c>
      <c r="C52" t="s">
        <v>519</v>
      </c>
    </row>
    <row r="53" spans="2:9" ht="12.75" customHeight="1" x14ac:dyDescent="0.25">
      <c r="B53">
        <v>1000</v>
      </c>
      <c r="C53" t="s">
        <v>520</v>
      </c>
    </row>
    <row r="54" spans="2:9" ht="12.75" customHeight="1" x14ac:dyDescent="0.25">
      <c r="B54">
        <v>2800</v>
      </c>
      <c r="C54" t="s">
        <v>521</v>
      </c>
    </row>
    <row r="55" spans="2:9" ht="12.75" customHeight="1" x14ac:dyDescent="0.25">
      <c r="B55">
        <f>B54/B53</f>
        <v>2.8</v>
      </c>
      <c r="C55" t="s">
        <v>522</v>
      </c>
    </row>
    <row r="56" spans="2:9" ht="12.75" customHeight="1" x14ac:dyDescent="0.25">
      <c r="B56">
        <f>(B55*B47)/1000</f>
        <v>345688</v>
      </c>
      <c r="C56" t="s">
        <v>523</v>
      </c>
    </row>
    <row r="57" spans="2:9" ht="12.75" customHeight="1" x14ac:dyDescent="0.25">
      <c r="B57">
        <v>5</v>
      </c>
      <c r="C57" t="s">
        <v>524</v>
      </c>
    </row>
    <row r="58" spans="2:9" ht="12.75" customHeight="1" x14ac:dyDescent="0.25">
      <c r="B58">
        <f>B56/B57</f>
        <v>69137.600000000006</v>
      </c>
      <c r="C58" t="s">
        <v>525</v>
      </c>
    </row>
    <row r="59" spans="2:9" ht="12.75" customHeight="1" x14ac:dyDescent="0.25">
      <c r="B59" s="16">
        <f>B45/B58</f>
        <v>1.4463909652634745</v>
      </c>
      <c r="C59" t="s">
        <v>526</v>
      </c>
    </row>
    <row r="60" spans="2:9" ht="12.75" customHeight="1" x14ac:dyDescent="0.25">
      <c r="B60">
        <f>B58*B59</f>
        <v>100000</v>
      </c>
    </row>
    <row r="61" spans="2:9" ht="12.75" customHeight="1" x14ac:dyDescent="0.25">
      <c r="E61" t="s">
        <v>527</v>
      </c>
      <c r="F61" t="s">
        <v>528</v>
      </c>
      <c r="G61" t="s">
        <v>529</v>
      </c>
    </row>
    <row r="62" spans="2:9" ht="12.75" customHeight="1" x14ac:dyDescent="0.25">
      <c r="B62">
        <v>7.1</v>
      </c>
      <c r="C62" t="s">
        <v>530</v>
      </c>
      <c r="F62" s="452" t="s">
        <v>531</v>
      </c>
      <c r="G62" t="s">
        <v>532</v>
      </c>
      <c r="H62" t="s">
        <v>531</v>
      </c>
      <c r="I62" t="s">
        <v>532</v>
      </c>
    </row>
    <row r="63" spans="2:9" ht="12.75" customHeight="1" x14ac:dyDescent="0.25">
      <c r="B63" s="452">
        <v>0.15</v>
      </c>
      <c r="C63" t="s">
        <v>268</v>
      </c>
      <c r="D63" t="e">
        <f>F64/0.8</f>
        <v>#VALUE!</v>
      </c>
      <c r="E63" t="s">
        <v>533</v>
      </c>
      <c r="F63" t="s">
        <v>512</v>
      </c>
      <c r="G63" s="59">
        <v>41900</v>
      </c>
      <c r="H63" t="s">
        <v>534</v>
      </c>
      <c r="I63" s="59">
        <v>41710</v>
      </c>
    </row>
    <row r="64" spans="2:9" ht="12.75" customHeight="1" x14ac:dyDescent="0.25">
      <c r="B64">
        <v>200</v>
      </c>
      <c r="C64" t="s">
        <v>102</v>
      </c>
      <c r="E64" s="452" t="s">
        <v>535</v>
      </c>
      <c r="F64" s="452" t="s">
        <v>536</v>
      </c>
      <c r="G64" s="59">
        <v>41646</v>
      </c>
      <c r="H64" t="s">
        <v>537</v>
      </c>
      <c r="I64" s="59">
        <v>41730</v>
      </c>
    </row>
    <row r="65" spans="2:9" ht="12.75" customHeight="1" x14ac:dyDescent="0.25">
      <c r="B65">
        <f>B64/1000</f>
        <v>0.2</v>
      </c>
      <c r="C65" t="s">
        <v>247</v>
      </c>
      <c r="E65" t="s">
        <v>538</v>
      </c>
      <c r="F65" t="s">
        <v>539</v>
      </c>
      <c r="G65" s="59">
        <v>41862</v>
      </c>
      <c r="H65" t="s">
        <v>540</v>
      </c>
      <c r="I65" s="59">
        <v>41892</v>
      </c>
    </row>
    <row r="66" spans="2:9" ht="12.75" customHeight="1" x14ac:dyDescent="0.25">
      <c r="E66" t="s">
        <v>541</v>
      </c>
      <c r="F66" t="s">
        <v>542</v>
      </c>
      <c r="G66" s="59">
        <v>41711</v>
      </c>
      <c r="H66" t="s">
        <v>543</v>
      </c>
      <c r="I66" s="59">
        <v>41739</v>
      </c>
    </row>
    <row r="67" spans="2:9" ht="12.75" customHeight="1" x14ac:dyDescent="0.25">
      <c r="E67" t="s">
        <v>544</v>
      </c>
      <c r="F67" t="s">
        <v>545</v>
      </c>
      <c r="G67" s="59">
        <v>41731</v>
      </c>
      <c r="H67" t="s">
        <v>545</v>
      </c>
      <c r="I67" s="59">
        <v>41731</v>
      </c>
    </row>
    <row r="68" spans="2:9" ht="12.75" customHeight="1" x14ac:dyDescent="0.25">
      <c r="E68" t="s">
        <v>546</v>
      </c>
      <c r="F68" t="s">
        <v>547</v>
      </c>
      <c r="G68" t="s">
        <v>548</v>
      </c>
      <c r="H68" t="s">
        <v>35</v>
      </c>
      <c r="I68" s="59">
        <v>41824</v>
      </c>
    </row>
    <row r="69" spans="2:9" ht="12.75" customHeight="1" x14ac:dyDescent="0.25">
      <c r="E69" t="s">
        <v>549</v>
      </c>
      <c r="F69">
        <v>0.59</v>
      </c>
      <c r="G69">
        <v>27.9</v>
      </c>
      <c r="H69">
        <v>0.6</v>
      </c>
      <c r="I69">
        <v>28.4</v>
      </c>
    </row>
    <row r="70" spans="2:9" ht="12.75" customHeight="1" x14ac:dyDescent="0.25">
      <c r="F70" t="e">
        <f>F63-F64+F66+F67+F68</f>
        <v>#VALUE!</v>
      </c>
    </row>
    <row r="72" spans="2:9" ht="12.75" customHeight="1" x14ac:dyDescent="0.25">
      <c r="C72" t="s">
        <v>550</v>
      </c>
    </row>
    <row r="73" spans="2:9" ht="12.75" customHeight="1" x14ac:dyDescent="0.25">
      <c r="C73" t="s">
        <v>551</v>
      </c>
    </row>
    <row r="74" spans="2:9" ht="12.75" customHeight="1" x14ac:dyDescent="0.25">
      <c r="C74" t="s">
        <v>552</v>
      </c>
    </row>
    <row r="75" spans="2:9" ht="12.75" customHeight="1" x14ac:dyDescent="0.25">
      <c r="C75" t="s">
        <v>553</v>
      </c>
    </row>
    <row r="76" spans="2:9" ht="12.75" customHeight="1" x14ac:dyDescent="0.25">
      <c r="C76" t="s">
        <v>554</v>
      </c>
    </row>
    <row r="77" spans="2:9" ht="12.75" customHeight="1" x14ac:dyDescent="0.25">
      <c r="C77" t="s">
        <v>555</v>
      </c>
    </row>
    <row r="78" spans="2:9" ht="12.75" customHeight="1" x14ac:dyDescent="0.25">
      <c r="C78" t="s">
        <v>552</v>
      </c>
    </row>
    <row r="79" spans="2:9" ht="12.75" customHeight="1" x14ac:dyDescent="0.25">
      <c r="C79" t="s">
        <v>556</v>
      </c>
    </row>
    <row r="80" spans="2:9" ht="12.75" customHeight="1" x14ac:dyDescent="0.25">
      <c r="C80" t="s">
        <v>555</v>
      </c>
    </row>
    <row r="81" spans="2:3" ht="12.75" customHeight="1" x14ac:dyDescent="0.25">
      <c r="B81" t="s">
        <v>555</v>
      </c>
      <c r="C81" t="s">
        <v>557</v>
      </c>
    </row>
    <row r="82" spans="2:3" ht="12.75" customHeight="1" x14ac:dyDescent="0.25">
      <c r="B82">
        <v>70</v>
      </c>
      <c r="C82" t="s">
        <v>558</v>
      </c>
    </row>
    <row r="83" spans="2:3" ht="12.75" customHeight="1" x14ac:dyDescent="0.25">
      <c r="C83" t="s">
        <v>559</v>
      </c>
    </row>
    <row r="84" spans="2:3" ht="12.75" customHeight="1" x14ac:dyDescent="0.25">
      <c r="C84" t="s">
        <v>560</v>
      </c>
    </row>
    <row r="85" spans="2:3" ht="12.75" customHeight="1" x14ac:dyDescent="0.25">
      <c r="C85" t="s">
        <v>561</v>
      </c>
    </row>
    <row r="86" spans="2:3" ht="12.75" customHeight="1" x14ac:dyDescent="0.25">
      <c r="C86" t="s">
        <v>562</v>
      </c>
    </row>
    <row r="87" spans="2:3" ht="12.75" customHeight="1" x14ac:dyDescent="0.25">
      <c r="C87" t="s">
        <v>560</v>
      </c>
    </row>
    <row r="88" spans="2:3" ht="12.75" customHeight="1" x14ac:dyDescent="0.25">
      <c r="C88" t="s">
        <v>563</v>
      </c>
    </row>
    <row r="89" spans="2:3" ht="12.75" customHeight="1" x14ac:dyDescent="0.25">
      <c r="C89" t="s">
        <v>564</v>
      </c>
    </row>
    <row r="90" spans="2:3" ht="12.75" customHeight="1" x14ac:dyDescent="0.25">
      <c r="C90" t="s">
        <v>565</v>
      </c>
    </row>
    <row r="91" spans="2:3" ht="12.75" customHeight="1" x14ac:dyDescent="0.25">
      <c r="C91" t="s">
        <v>561</v>
      </c>
    </row>
    <row r="92" spans="2:3" ht="12.75" customHeight="1" x14ac:dyDescent="0.25">
      <c r="C92" t="s">
        <v>566</v>
      </c>
    </row>
    <row r="93" spans="2:3" ht="12.75" customHeight="1" x14ac:dyDescent="0.25">
      <c r="C93" t="s">
        <v>567</v>
      </c>
    </row>
    <row r="94" spans="2:3" ht="12.75" customHeight="1" x14ac:dyDescent="0.25">
      <c r="C94" t="s">
        <v>561</v>
      </c>
    </row>
    <row r="95" spans="2:3" ht="12.75" customHeight="1" x14ac:dyDescent="0.25">
      <c r="C95" t="s">
        <v>568</v>
      </c>
    </row>
    <row r="96" spans="2:3" ht="12.75" customHeight="1" x14ac:dyDescent="0.25">
      <c r="C96" t="s">
        <v>569</v>
      </c>
    </row>
    <row r="97" spans="1:9" ht="12.75" customHeight="1" x14ac:dyDescent="0.25">
      <c r="C97" t="s">
        <v>570</v>
      </c>
    </row>
    <row r="98" spans="1:9" ht="12.75" customHeight="1" x14ac:dyDescent="0.25">
      <c r="C98" t="s">
        <v>571</v>
      </c>
    </row>
    <row r="99" spans="1:9" ht="12.75" customHeight="1" x14ac:dyDescent="0.25">
      <c r="C99" t="s">
        <v>572</v>
      </c>
    </row>
    <row r="100" spans="1:9" ht="12" customHeight="1" x14ac:dyDescent="0.25">
      <c r="C100" t="s">
        <v>573</v>
      </c>
    </row>
    <row r="103" spans="1:9" ht="45" customHeight="1" x14ac:dyDescent="0.4">
      <c r="A103" s="414" t="s">
        <v>1002</v>
      </c>
      <c r="B103" s="414"/>
      <c r="C103" t="s">
        <v>800</v>
      </c>
      <c r="D103" s="414"/>
      <c r="E103" s="414"/>
      <c r="F103" s="414"/>
      <c r="G103" s="414"/>
      <c r="H103" s="414"/>
      <c r="I103" s="414"/>
    </row>
    <row r="104" spans="1:9" ht="37.049999999999997" customHeight="1" thickBot="1" x14ac:dyDescent="0.45">
      <c r="A104" s="414" t="s">
        <v>1003</v>
      </c>
      <c r="B104" s="414" t="s">
        <v>1004</v>
      </c>
      <c r="C104" s="414" t="s">
        <v>1005</v>
      </c>
      <c r="D104" s="414"/>
      <c r="E104" s="414"/>
      <c r="F104" s="414"/>
      <c r="G104" s="414"/>
      <c r="H104" s="414"/>
      <c r="I104" s="414"/>
    </row>
    <row r="105" spans="1:9" ht="12" customHeight="1" thickBot="1" x14ac:dyDescent="0.3">
      <c r="A105" s="966" t="s">
        <v>1006</v>
      </c>
      <c r="B105" s="967"/>
      <c r="C105" s="967"/>
      <c r="D105" s="967"/>
      <c r="E105" s="967"/>
      <c r="F105" s="968"/>
    </row>
    <row r="106" spans="1:9" ht="12" customHeight="1" thickBot="1" x14ac:dyDescent="0.3">
      <c r="A106" s="969" t="s">
        <v>1007</v>
      </c>
      <c r="B106" s="970"/>
      <c r="C106" s="970"/>
      <c r="D106" s="970"/>
      <c r="E106" s="970"/>
      <c r="F106" s="971"/>
    </row>
    <row r="107" spans="1:9" ht="12.75" customHeight="1" thickBot="1" x14ac:dyDescent="0.3">
      <c r="A107" s="513" t="s">
        <v>1008</v>
      </c>
      <c r="B107" s="514"/>
      <c r="C107" s="515"/>
      <c r="D107" s="516" t="s">
        <v>1009</v>
      </c>
      <c r="E107" s="515"/>
      <c r="F107" s="516" t="s">
        <v>1010</v>
      </c>
    </row>
    <row r="108" spans="1:9" ht="12.75" customHeight="1" thickBot="1" x14ac:dyDescent="0.3">
      <c r="A108" s="517" t="s">
        <v>1011</v>
      </c>
      <c r="B108" s="515" t="s">
        <v>1012</v>
      </c>
      <c r="C108" s="515" t="s">
        <v>1013</v>
      </c>
      <c r="D108" s="516" t="s">
        <v>1014</v>
      </c>
      <c r="E108" s="515" t="s">
        <v>1013</v>
      </c>
      <c r="F108" s="515" t="s">
        <v>1015</v>
      </c>
    </row>
    <row r="109" spans="1:9" ht="12.75" customHeight="1" thickBot="1" x14ac:dyDescent="0.3">
      <c r="A109" s="517" t="s">
        <v>1016</v>
      </c>
      <c r="B109" s="515" t="s">
        <v>1017</v>
      </c>
      <c r="C109" s="515" t="s">
        <v>1013</v>
      </c>
      <c r="D109" s="516" t="s">
        <v>1018</v>
      </c>
      <c r="E109" s="515" t="s">
        <v>1013</v>
      </c>
      <c r="F109" s="515" t="s">
        <v>1019</v>
      </c>
    </row>
    <row r="110" spans="1:9" ht="12.75" customHeight="1" thickBot="1" x14ac:dyDescent="0.3">
      <c r="A110" s="517" t="s">
        <v>1020</v>
      </c>
      <c r="B110" s="515" t="s">
        <v>1017</v>
      </c>
      <c r="C110" s="515" t="s">
        <v>1013</v>
      </c>
      <c r="D110" s="516" t="s">
        <v>1021</v>
      </c>
      <c r="E110" s="515" t="s">
        <v>1013</v>
      </c>
      <c r="F110" s="515" t="s">
        <v>1019</v>
      </c>
    </row>
    <row r="111" spans="1:9" ht="12.75" customHeight="1" thickBot="1" x14ac:dyDescent="0.3">
      <c r="A111" s="517" t="s">
        <v>1022</v>
      </c>
      <c r="B111" s="515" t="s">
        <v>1017</v>
      </c>
      <c r="C111" s="515" t="s">
        <v>1013</v>
      </c>
      <c r="D111" s="516" t="s">
        <v>1023</v>
      </c>
      <c r="E111" s="515" t="s">
        <v>1013</v>
      </c>
      <c r="F111" s="515" t="s">
        <v>1024</v>
      </c>
    </row>
    <row r="112" spans="1:9" ht="12" customHeight="1" thickBot="1" x14ac:dyDescent="0.3">
      <c r="A112" s="969" t="s">
        <v>1025</v>
      </c>
      <c r="B112" s="970"/>
      <c r="C112" s="970"/>
      <c r="D112" s="970"/>
      <c r="E112" s="970"/>
      <c r="F112" s="971"/>
    </row>
    <row r="113" spans="1:6" ht="12.75" customHeight="1" thickBot="1" x14ac:dyDescent="0.3">
      <c r="A113" s="517" t="s">
        <v>1011</v>
      </c>
      <c r="B113" s="515" t="s">
        <v>1026</v>
      </c>
      <c r="C113" s="515" t="s">
        <v>1013</v>
      </c>
      <c r="D113" s="516" t="s">
        <v>1027</v>
      </c>
      <c r="E113" s="515" t="s">
        <v>1013</v>
      </c>
      <c r="F113" s="515" t="s">
        <v>1028</v>
      </c>
    </row>
    <row r="114" spans="1:6" ht="12.75" customHeight="1" thickBot="1" x14ac:dyDescent="0.3">
      <c r="A114" s="517" t="s">
        <v>1016</v>
      </c>
      <c r="B114" s="515" t="s">
        <v>1017</v>
      </c>
      <c r="C114" s="515" t="s">
        <v>1013</v>
      </c>
      <c r="D114" s="516" t="s">
        <v>1029</v>
      </c>
      <c r="E114" s="515" t="s">
        <v>1013</v>
      </c>
      <c r="F114" s="515" t="s">
        <v>1030</v>
      </c>
    </row>
    <row r="115" spans="1:6" ht="12.75" customHeight="1" thickBot="1" x14ac:dyDescent="0.3">
      <c r="A115" s="517" t="s">
        <v>1020</v>
      </c>
      <c r="B115" s="515" t="s">
        <v>1017</v>
      </c>
      <c r="C115" s="515" t="s">
        <v>1013</v>
      </c>
      <c r="D115" s="516" t="s">
        <v>1031</v>
      </c>
      <c r="E115" s="515" t="s">
        <v>1013</v>
      </c>
      <c r="F115" s="515" t="s">
        <v>1030</v>
      </c>
    </row>
    <row r="116" spans="1:6" ht="12.75" customHeight="1" thickBot="1" x14ac:dyDescent="0.3">
      <c r="A116" s="517" t="s">
        <v>1022</v>
      </c>
      <c r="B116" s="515" t="s">
        <v>1017</v>
      </c>
      <c r="C116" s="515" t="s">
        <v>1013</v>
      </c>
      <c r="D116" s="516" t="s">
        <v>1032</v>
      </c>
      <c r="E116" s="515" t="s">
        <v>1013</v>
      </c>
      <c r="F116" s="515" t="s">
        <v>1033</v>
      </c>
    </row>
    <row r="117" spans="1:6" ht="12.75" customHeight="1" x14ac:dyDescent="0.25">
      <c r="D117" t="s">
        <v>268</v>
      </c>
      <c r="F117" t="s">
        <v>247</v>
      </c>
    </row>
    <row r="118" spans="1:6" ht="12.75" customHeight="1" x14ac:dyDescent="0.25">
      <c r="B118" t="s">
        <v>1034</v>
      </c>
      <c r="C118" t="s">
        <v>1035</v>
      </c>
      <c r="D118">
        <v>0.71499999999999997</v>
      </c>
      <c r="E118">
        <v>0.8</v>
      </c>
      <c r="F118">
        <v>0.89375000000000004</v>
      </c>
    </row>
    <row r="119" spans="1:6" ht="12.75" customHeight="1" x14ac:dyDescent="0.25">
      <c r="D119">
        <v>0.71</v>
      </c>
      <c r="E119">
        <v>0.8</v>
      </c>
      <c r="F119">
        <v>0.88749999999999996</v>
      </c>
    </row>
    <row r="120" spans="1:6" ht="12.75" customHeight="1" x14ac:dyDescent="0.25">
      <c r="D120">
        <v>0.70499999999999996</v>
      </c>
      <c r="E120">
        <v>0.8</v>
      </c>
      <c r="F120">
        <v>0.88124999999999998</v>
      </c>
    </row>
    <row r="121" spans="1:6" ht="12.75" customHeight="1" x14ac:dyDescent="0.25">
      <c r="C121" t="s">
        <v>1036</v>
      </c>
      <c r="D121">
        <v>0.71</v>
      </c>
      <c r="E121">
        <v>0.8</v>
      </c>
      <c r="F121">
        <v>0.88749999999999996</v>
      </c>
    </row>
    <row r="124" spans="1:6" ht="22.05" customHeight="1" x14ac:dyDescent="0.3">
      <c r="A124" s="518" t="s">
        <v>1037</v>
      </c>
      <c r="B124" t="s">
        <v>1046</v>
      </c>
      <c r="C124" t="s">
        <v>1047</v>
      </c>
    </row>
    <row r="125" spans="1:6" ht="12.75" customHeight="1" x14ac:dyDescent="0.25">
      <c r="B125">
        <v>3.7850000000000001</v>
      </c>
      <c r="C125" t="s">
        <v>1050</v>
      </c>
    </row>
    <row r="126" spans="1:6" ht="18" customHeight="1" x14ac:dyDescent="0.3">
      <c r="A126" t="s">
        <v>1056</v>
      </c>
      <c r="B126">
        <v>0.73</v>
      </c>
      <c r="C126" t="s">
        <v>1051</v>
      </c>
    </row>
    <row r="128" spans="1:6" ht="12.75" customHeight="1" x14ac:dyDescent="0.25">
      <c r="A128" t="s">
        <v>1038</v>
      </c>
    </row>
    <row r="129" spans="1:6" ht="12.75" customHeight="1" x14ac:dyDescent="0.25">
      <c r="B129" t="s">
        <v>268</v>
      </c>
    </row>
    <row r="130" spans="1:6" ht="12.75" customHeight="1" x14ac:dyDescent="0.25">
      <c r="A130" t="s">
        <v>1039</v>
      </c>
      <c r="B130">
        <f>259.05/B125/100*B126</f>
        <v>0.49962087186261561</v>
      </c>
    </row>
    <row r="132" spans="1:6" ht="12.75" customHeight="1" x14ac:dyDescent="0.25">
      <c r="A132" t="s">
        <v>1040</v>
      </c>
    </row>
    <row r="134" spans="1:6" ht="12.75" customHeight="1" x14ac:dyDescent="0.25">
      <c r="A134" t="s">
        <v>1041</v>
      </c>
    </row>
    <row r="136" spans="1:6" ht="12.75" customHeight="1" x14ac:dyDescent="0.25">
      <c r="A136" t="s">
        <v>1042</v>
      </c>
    </row>
    <row r="138" spans="1:6" ht="12.75" customHeight="1" x14ac:dyDescent="0.25">
      <c r="A138" t="s">
        <v>1043</v>
      </c>
    </row>
    <row r="139" spans="1:6" ht="12.75" customHeight="1" x14ac:dyDescent="0.25">
      <c r="B139" t="s">
        <v>1052</v>
      </c>
      <c r="C139" t="s">
        <v>247</v>
      </c>
    </row>
    <row r="140" spans="1:6" ht="19.95" customHeight="1" x14ac:dyDescent="0.3">
      <c r="A140" t="s">
        <v>1055</v>
      </c>
      <c r="B140">
        <f>626/1000</f>
        <v>0.626</v>
      </c>
      <c r="C140" s="12">
        <f>B140/E121</f>
        <v>0.78249999999999997</v>
      </c>
      <c r="D140">
        <f>(B140+D121)/2</f>
        <v>0.66799999999999993</v>
      </c>
      <c r="F140">
        <f>D140/E121</f>
        <v>0.83499999999999985</v>
      </c>
    </row>
    <row r="142" spans="1:6" ht="12.75" customHeight="1" x14ac:dyDescent="0.25">
      <c r="A142" t="s">
        <v>1044</v>
      </c>
    </row>
    <row r="144" spans="1:6" ht="12.75" customHeight="1" x14ac:dyDescent="0.25">
      <c r="A144" t="s">
        <v>1045</v>
      </c>
      <c r="B144">
        <f>767.33/1000</f>
        <v>0.76733000000000007</v>
      </c>
    </row>
    <row r="146" spans="1:2" ht="97.05" customHeight="1" x14ac:dyDescent="0.25">
      <c r="A146" t="s">
        <v>1048</v>
      </c>
      <c r="B146" t="s">
        <v>1049</v>
      </c>
    </row>
  </sheetData>
  <mergeCells count="3">
    <mergeCell ref="A105:F105"/>
    <mergeCell ref="A106:F106"/>
    <mergeCell ref="A112:F112"/>
  </mergeCells>
  <hyperlinks>
    <hyperlink ref="A108" r:id="rId1"/>
    <hyperlink ref="A109" r:id="rId2"/>
    <hyperlink ref="A110" r:id="rId3"/>
    <hyperlink ref="A111" r:id="rId4"/>
    <hyperlink ref="A113" r:id="rId5"/>
    <hyperlink ref="A114" r:id="rId6"/>
    <hyperlink ref="A115" r:id="rId7"/>
    <hyperlink ref="A116" r:id="rId8"/>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election activeCell="K2" sqref="K2"/>
    </sheetView>
  </sheetViews>
  <sheetFormatPr defaultColWidth="17.109375" defaultRowHeight="12.75" customHeight="1" x14ac:dyDescent="0.25"/>
  <cols>
    <col min="1" max="1" width="29" customWidth="1"/>
    <col min="2" max="2" width="7" customWidth="1"/>
    <col min="3" max="3" width="6.109375" customWidth="1"/>
    <col min="4" max="4" width="6" customWidth="1"/>
    <col min="5" max="5" width="8.77734375" customWidth="1"/>
    <col min="6" max="6" width="8.44140625" customWidth="1"/>
    <col min="7" max="7" width="7.33203125" customWidth="1"/>
    <col min="8" max="8" width="8.77734375" customWidth="1"/>
    <col min="9" max="9" width="7.44140625" customWidth="1"/>
    <col min="10" max="10" width="8.109375" customWidth="1"/>
  </cols>
  <sheetData>
    <row r="1" spans="2:16" ht="12.75" customHeight="1" x14ac:dyDescent="0.25">
      <c r="F1" s="80" t="s">
        <v>0</v>
      </c>
      <c r="G1" s="80" t="s">
        <v>1</v>
      </c>
      <c r="K1" t="s">
        <v>2</v>
      </c>
      <c r="L1" t="s">
        <v>3</v>
      </c>
      <c r="M1">
        <v>1125</v>
      </c>
      <c r="N1" t="s">
        <v>4</v>
      </c>
    </row>
    <row r="2" spans="2:16" ht="12.75" customHeight="1" x14ac:dyDescent="0.25">
      <c r="F2" s="80">
        <v>3.6</v>
      </c>
      <c r="G2" s="80">
        <v>1000</v>
      </c>
      <c r="I2" s="22" t="s">
        <v>5</v>
      </c>
      <c r="J2" s="22"/>
      <c r="K2" t="s">
        <v>6</v>
      </c>
      <c r="L2" t="s">
        <v>7</v>
      </c>
      <c r="M2">
        <v>380000000</v>
      </c>
      <c r="N2" t="s">
        <v>4</v>
      </c>
    </row>
    <row r="3" spans="2:16" ht="12.75" customHeight="1" x14ac:dyDescent="0.25">
      <c r="C3" t="s">
        <v>8</v>
      </c>
      <c r="D3" t="s">
        <v>9</v>
      </c>
      <c r="I3" s="22">
        <v>10</v>
      </c>
      <c r="J3" s="22" t="s">
        <v>10</v>
      </c>
      <c r="K3" t="s">
        <v>11</v>
      </c>
      <c r="L3" t="s">
        <v>7</v>
      </c>
      <c r="M3" s="84">
        <f>M2/M1</f>
        <v>337777.77777777775</v>
      </c>
      <c r="N3" t="s">
        <v>12</v>
      </c>
    </row>
    <row r="4" spans="2:16" ht="12.75" customHeight="1" x14ac:dyDescent="0.25">
      <c r="B4" t="s">
        <v>13</v>
      </c>
      <c r="C4">
        <v>380</v>
      </c>
      <c r="D4">
        <f>(C4*I5)*F2</f>
        <v>13680</v>
      </c>
      <c r="I4" s="22">
        <v>10</v>
      </c>
      <c r="J4" s="22" t="s">
        <v>14</v>
      </c>
      <c r="K4" t="s">
        <v>15</v>
      </c>
      <c r="M4" s="84">
        <f>M3/1000</f>
        <v>337.77777777777777</v>
      </c>
      <c r="N4" t="s">
        <v>16</v>
      </c>
    </row>
    <row r="5" spans="2:16" ht="12.75" customHeight="1" x14ac:dyDescent="0.25">
      <c r="B5" t="s">
        <v>17</v>
      </c>
      <c r="C5">
        <f>220/1000</f>
        <v>0.22</v>
      </c>
      <c r="D5">
        <f>((C5*I11)*F2)*1000</f>
        <v>4752.0000000000009</v>
      </c>
      <c r="I5" s="22">
        <v>10</v>
      </c>
      <c r="J5" s="22" t="s">
        <v>18</v>
      </c>
      <c r="K5" t="s">
        <v>19</v>
      </c>
      <c r="L5" t="s">
        <v>7</v>
      </c>
      <c r="M5" t="s">
        <v>7</v>
      </c>
      <c r="N5" t="s">
        <v>7</v>
      </c>
      <c r="O5" t="s">
        <v>7</v>
      </c>
    </row>
    <row r="6" spans="2:16" ht="12.75" customHeight="1" x14ac:dyDescent="0.25">
      <c r="K6" t="s">
        <v>20</v>
      </c>
      <c r="L6" t="s">
        <v>7</v>
      </c>
      <c r="M6" t="s">
        <v>7</v>
      </c>
      <c r="N6" t="s">
        <v>7</v>
      </c>
      <c r="O6" t="s">
        <v>7</v>
      </c>
    </row>
    <row r="8" spans="2:16" ht="12.75" customHeight="1" x14ac:dyDescent="0.25">
      <c r="I8" s="80" t="s">
        <v>21</v>
      </c>
      <c r="J8" s="80"/>
      <c r="K8" t="s">
        <v>22</v>
      </c>
    </row>
    <row r="9" spans="2:16" ht="12.75" customHeight="1" x14ac:dyDescent="0.25">
      <c r="I9" s="80">
        <v>27</v>
      </c>
      <c r="J9" s="80" t="s">
        <v>23</v>
      </c>
      <c r="M9" t="s">
        <v>12</v>
      </c>
      <c r="N9" t="s">
        <v>24</v>
      </c>
      <c r="O9" t="s">
        <v>25</v>
      </c>
      <c r="P9" t="s">
        <v>26</v>
      </c>
    </row>
    <row r="10" spans="2:16" ht="12.75" customHeight="1" x14ac:dyDescent="0.25">
      <c r="I10" s="80">
        <f>I9/F2</f>
        <v>7.5</v>
      </c>
      <c r="J10" s="80" t="s">
        <v>27</v>
      </c>
      <c r="L10" t="s">
        <v>12</v>
      </c>
      <c r="M10">
        <v>1</v>
      </c>
      <c r="N10" t="s">
        <v>28</v>
      </c>
      <c r="O10" t="s">
        <v>29</v>
      </c>
      <c r="P10">
        <v>10</v>
      </c>
    </row>
    <row r="11" spans="2:16" ht="12.75" customHeight="1" x14ac:dyDescent="0.25">
      <c r="I11" s="80">
        <v>6</v>
      </c>
      <c r="J11" s="80" t="s">
        <v>30</v>
      </c>
      <c r="L11" t="s">
        <v>24</v>
      </c>
      <c r="M11">
        <v>8.5980000000000001E-2</v>
      </c>
      <c r="N11">
        <v>1</v>
      </c>
      <c r="O11" s="59">
        <v>41428</v>
      </c>
      <c r="P11" t="s">
        <v>31</v>
      </c>
    </row>
    <row r="12" spans="2:16" ht="12.75" customHeight="1" x14ac:dyDescent="0.25">
      <c r="L12" t="s">
        <v>25</v>
      </c>
      <c r="M12" t="s">
        <v>32</v>
      </c>
      <c r="N12" t="s">
        <v>33</v>
      </c>
      <c r="O12">
        <v>1</v>
      </c>
      <c r="P12" t="s">
        <v>34</v>
      </c>
    </row>
    <row r="13" spans="2:16" ht="12.75" customHeight="1" x14ac:dyDescent="0.25">
      <c r="L13" t="s">
        <v>26</v>
      </c>
      <c r="M13" t="s">
        <v>35</v>
      </c>
      <c r="N13" t="s">
        <v>36</v>
      </c>
      <c r="O13" t="s">
        <v>37</v>
      </c>
      <c r="P13">
        <v>1</v>
      </c>
    </row>
    <row r="31" spans="1:10" ht="12.75" customHeight="1" x14ac:dyDescent="0.25">
      <c r="A31" t="s">
        <v>797</v>
      </c>
      <c r="B31">
        <v>1</v>
      </c>
      <c r="C31" s="322">
        <v>0.89814814814814814</v>
      </c>
      <c r="D31" s="322">
        <v>0.34767025089605735</v>
      </c>
      <c r="E31" s="322">
        <v>0.54083333333333328</v>
      </c>
      <c r="F31" s="322">
        <v>0.6176594845796366</v>
      </c>
      <c r="G31" s="322">
        <v>0.52314814814814814</v>
      </c>
      <c r="H31" s="322">
        <v>0.46733539094650201</v>
      </c>
      <c r="I31" s="322">
        <v>0.42476190476190484</v>
      </c>
      <c r="J31" s="322">
        <v>0.37868572455951094</v>
      </c>
    </row>
    <row r="32" spans="1:10" ht="12.75" customHeight="1" x14ac:dyDescent="0.25">
      <c r="A32" t="s">
        <v>799</v>
      </c>
      <c r="B32">
        <v>1</v>
      </c>
      <c r="C32" s="323">
        <v>26.944444444444443</v>
      </c>
      <c r="D32" s="323">
        <v>53.888888888888886</v>
      </c>
      <c r="E32" s="323">
        <v>108.16666666666666</v>
      </c>
      <c r="F32" s="323">
        <v>162.44444444444443</v>
      </c>
      <c r="G32" s="323">
        <v>156.94444444444443</v>
      </c>
      <c r="H32" s="323">
        <v>151.41666666666666</v>
      </c>
      <c r="I32" s="323">
        <v>148.66666666666669</v>
      </c>
      <c r="J32" s="323">
        <v>140.41666666666666</v>
      </c>
    </row>
    <row r="33" spans="1:10" ht="12.75" customHeight="1" x14ac:dyDescent="0.25">
      <c r="A33" t="s">
        <v>798</v>
      </c>
      <c r="B33">
        <v>1</v>
      </c>
      <c r="C33">
        <v>30</v>
      </c>
      <c r="D33">
        <v>155</v>
      </c>
      <c r="E33">
        <v>200</v>
      </c>
      <c r="F33">
        <v>263</v>
      </c>
      <c r="G33">
        <v>300</v>
      </c>
      <c r="H33">
        <v>324</v>
      </c>
      <c r="I33">
        <v>350</v>
      </c>
      <c r="J33">
        <v>370.8</v>
      </c>
    </row>
    <row r="34" spans="1:10" ht="12.75" customHeight="1" x14ac:dyDescent="0.25">
      <c r="A34" t="s">
        <v>78</v>
      </c>
      <c r="B34">
        <v>1</v>
      </c>
      <c r="C34">
        <v>29</v>
      </c>
      <c r="D34">
        <v>125</v>
      </c>
      <c r="E34">
        <v>45</v>
      </c>
      <c r="F34">
        <v>63</v>
      </c>
      <c r="G34">
        <v>37</v>
      </c>
      <c r="H34">
        <v>24</v>
      </c>
      <c r="I34">
        <v>26</v>
      </c>
      <c r="J34">
        <v>20.800000000000011</v>
      </c>
    </row>
    <row r="36" spans="1:10" ht="12.75" customHeight="1" x14ac:dyDescent="0.25">
      <c r="A36" s="324" t="s">
        <v>800</v>
      </c>
      <c r="B36" s="329">
        <v>2010</v>
      </c>
      <c r="C36" s="329">
        <v>2015</v>
      </c>
      <c r="D36" s="329">
        <v>2020</v>
      </c>
      <c r="E36" s="329">
        <v>2025</v>
      </c>
      <c r="F36" s="329">
        <v>2030</v>
      </c>
      <c r="G36" s="329">
        <v>2035</v>
      </c>
      <c r="H36" s="329">
        <v>2040</v>
      </c>
      <c r="I36" s="329">
        <v>2045</v>
      </c>
      <c r="J36" s="329">
        <v>2050</v>
      </c>
    </row>
    <row r="37" spans="1:10" ht="12.75" customHeight="1" x14ac:dyDescent="0.25">
      <c r="A37" s="325" t="s">
        <v>798</v>
      </c>
      <c r="B37" s="325">
        <v>1</v>
      </c>
      <c r="C37" s="325">
        <v>30</v>
      </c>
      <c r="D37" s="325">
        <v>155</v>
      </c>
      <c r="E37" s="325">
        <v>200</v>
      </c>
      <c r="F37" s="325">
        <v>263</v>
      </c>
      <c r="G37" s="325">
        <v>300</v>
      </c>
      <c r="H37" s="325">
        <v>324</v>
      </c>
      <c r="I37" s="325">
        <v>350</v>
      </c>
      <c r="J37" s="325">
        <v>380</v>
      </c>
    </row>
    <row r="38" spans="1:10" ht="12.75" customHeight="1" x14ac:dyDescent="0.25">
      <c r="A38" s="325" t="s">
        <v>801</v>
      </c>
      <c r="B38" s="325">
        <v>1</v>
      </c>
      <c r="C38" s="326">
        <v>26.944444444444443</v>
      </c>
      <c r="D38" s="326">
        <v>53.888888888888886</v>
      </c>
      <c r="E38" s="326">
        <v>108.16666666666666</v>
      </c>
      <c r="F38" s="326">
        <v>162.44444444444443</v>
      </c>
      <c r="G38" s="326">
        <v>156.94444444444443</v>
      </c>
      <c r="H38" s="326">
        <v>151.41666666666666</v>
      </c>
      <c r="I38" s="326">
        <v>148.66666666666669</v>
      </c>
      <c r="J38" s="326">
        <v>140.41666666666666</v>
      </c>
    </row>
    <row r="39" spans="1:10" ht="12.75" customHeight="1" x14ac:dyDescent="0.25">
      <c r="A39" s="327" t="s">
        <v>797</v>
      </c>
      <c r="B39" s="327">
        <v>1</v>
      </c>
      <c r="C39" s="328">
        <v>0.89814814814814814</v>
      </c>
      <c r="D39" s="328">
        <v>0.34767025089605735</v>
      </c>
      <c r="E39" s="328">
        <v>0.54083333333333328</v>
      </c>
      <c r="F39" s="328">
        <v>0.6176594845796366</v>
      </c>
      <c r="G39" s="328">
        <v>0.52314814814814814</v>
      </c>
      <c r="H39" s="328">
        <v>0.46733539094650201</v>
      </c>
      <c r="I39" s="328">
        <v>0.42476190476190484</v>
      </c>
      <c r="J39" s="328">
        <v>0.37868572455951094</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topLeftCell="A16" zoomScale="150" zoomScaleNormal="150" zoomScalePageLayoutView="150" workbookViewId="0">
      <selection activeCell="E34" sqref="E34"/>
    </sheetView>
  </sheetViews>
  <sheetFormatPr defaultColWidth="17.109375" defaultRowHeight="12.75" customHeight="1" x14ac:dyDescent="0.25"/>
  <cols>
    <col min="2" max="2" width="9.44140625" customWidth="1"/>
    <col min="3" max="3" width="10.77734375" customWidth="1"/>
    <col min="4" max="4" width="9.44140625" customWidth="1"/>
    <col min="5" max="5" width="8.44140625" customWidth="1"/>
    <col min="6" max="6" width="8" customWidth="1"/>
    <col min="7" max="7" width="8.109375" customWidth="1"/>
    <col min="8" max="8" width="8.44140625" customWidth="1"/>
    <col min="9" max="9" width="8.33203125" customWidth="1"/>
    <col min="10" max="10" width="8.44140625" customWidth="1"/>
    <col min="11" max="11" width="7.44140625" customWidth="1"/>
    <col min="14" max="14" width="9.109375" customWidth="1"/>
    <col min="15" max="15" width="8.6640625" customWidth="1"/>
    <col min="16" max="16" width="8.109375" customWidth="1"/>
    <col min="17" max="17" width="7.77734375" customWidth="1"/>
    <col min="18" max="18" width="7.109375" customWidth="1"/>
    <col min="19" max="20" width="6.77734375" customWidth="1"/>
    <col min="21" max="21" width="11" customWidth="1"/>
    <col min="22" max="22" width="11.44140625" customWidth="1"/>
    <col min="23" max="23" width="10.33203125" customWidth="1"/>
  </cols>
  <sheetData>
    <row r="1" spans="1:23" ht="46.8" x14ac:dyDescent="0.3">
      <c r="A1" s="75" t="s">
        <v>272</v>
      </c>
    </row>
    <row r="2" spans="1:23" ht="12.75" customHeight="1" x14ac:dyDescent="0.25">
      <c r="B2" t="s">
        <v>273</v>
      </c>
    </row>
    <row r="3" spans="1:23" ht="12.75" customHeight="1" x14ac:dyDescent="0.25">
      <c r="A3" t="s">
        <v>274</v>
      </c>
      <c r="B3" t="s">
        <v>143</v>
      </c>
      <c r="C3">
        <v>2010</v>
      </c>
      <c r="D3">
        <v>2015</v>
      </c>
      <c r="E3">
        <v>2020</v>
      </c>
      <c r="F3">
        <v>2025</v>
      </c>
      <c r="G3">
        <v>2030</v>
      </c>
      <c r="H3">
        <v>2035</v>
      </c>
      <c r="I3">
        <v>2040</v>
      </c>
      <c r="J3">
        <v>2045</v>
      </c>
      <c r="K3">
        <v>2050</v>
      </c>
      <c r="M3" t="s">
        <v>143</v>
      </c>
      <c r="O3">
        <v>2010</v>
      </c>
      <c r="P3">
        <v>2015</v>
      </c>
      <c r="Q3">
        <v>2020</v>
      </c>
      <c r="R3">
        <v>2025</v>
      </c>
      <c r="S3">
        <v>2030</v>
      </c>
      <c r="T3">
        <v>2035</v>
      </c>
      <c r="U3">
        <v>2040</v>
      </c>
      <c r="V3">
        <v>2045</v>
      </c>
      <c r="W3">
        <v>2050</v>
      </c>
    </row>
    <row r="4" spans="1:23" ht="12.75" customHeight="1" x14ac:dyDescent="0.25">
      <c r="A4" t="s">
        <v>275</v>
      </c>
      <c r="O4" s="647">
        <v>2010</v>
      </c>
      <c r="P4" s="647">
        <v>2015</v>
      </c>
      <c r="Q4" s="647">
        <v>2020</v>
      </c>
      <c r="R4" s="647">
        <v>2025</v>
      </c>
      <c r="S4" s="647">
        <v>2030</v>
      </c>
      <c r="T4" s="647">
        <v>2035</v>
      </c>
      <c r="U4" s="647">
        <v>2040</v>
      </c>
      <c r="V4" s="647">
        <v>2045</v>
      </c>
      <c r="W4" s="647">
        <v>2050</v>
      </c>
    </row>
    <row r="5" spans="1:23" ht="12.75" customHeight="1" x14ac:dyDescent="0.25">
      <c r="A5" t="s">
        <v>276</v>
      </c>
      <c r="B5" t="s">
        <v>65</v>
      </c>
      <c r="C5">
        <v>228</v>
      </c>
      <c r="D5">
        <v>209.4813399775885</v>
      </c>
      <c r="E5">
        <v>235.11374288769599</v>
      </c>
      <c r="F5">
        <v>656.5111424741259</v>
      </c>
      <c r="G5">
        <v>1077.9085420605559</v>
      </c>
      <c r="H5">
        <v>1342.5133645537239</v>
      </c>
      <c r="I5">
        <v>1607.1181870468918</v>
      </c>
      <c r="J5">
        <v>1739.4205982934759</v>
      </c>
      <c r="K5">
        <v>2136.3278320332279</v>
      </c>
      <c r="M5" t="s">
        <v>16</v>
      </c>
      <c r="N5" t="s">
        <v>276</v>
      </c>
      <c r="O5">
        <v>5</v>
      </c>
      <c r="P5">
        <v>6</v>
      </c>
      <c r="Q5">
        <v>6</v>
      </c>
      <c r="R5">
        <v>16</v>
      </c>
      <c r="S5">
        <v>25</v>
      </c>
      <c r="T5">
        <v>33</v>
      </c>
      <c r="U5">
        <v>41</v>
      </c>
      <c r="V5">
        <v>44</v>
      </c>
      <c r="W5">
        <v>56</v>
      </c>
    </row>
    <row r="6" spans="1:23" ht="12.75" customHeight="1" x14ac:dyDescent="0.25">
      <c r="A6" t="s">
        <v>277</v>
      </c>
      <c r="B6" t="s">
        <v>65</v>
      </c>
      <c r="C6">
        <v>10501</v>
      </c>
      <c r="D6">
        <v>11429.577206539847</v>
      </c>
      <c r="E6">
        <v>10958.129618342424</v>
      </c>
      <c r="F6">
        <v>7937.1740647461311</v>
      </c>
      <c r="G6">
        <v>4916.2185111498384</v>
      </c>
      <c r="H6">
        <v>4063.2069999071387</v>
      </c>
      <c r="I6">
        <v>3210.1954886644389</v>
      </c>
      <c r="J6">
        <v>2783.6897330430893</v>
      </c>
      <c r="K6">
        <v>1504.1724661790395</v>
      </c>
      <c r="M6" t="s">
        <v>16</v>
      </c>
      <c r="N6" t="s">
        <v>277</v>
      </c>
      <c r="O6">
        <v>251</v>
      </c>
      <c r="P6">
        <v>239</v>
      </c>
      <c r="Q6">
        <v>227</v>
      </c>
      <c r="R6">
        <v>169</v>
      </c>
      <c r="S6">
        <v>112</v>
      </c>
      <c r="T6">
        <v>90</v>
      </c>
      <c r="U6">
        <v>68</v>
      </c>
      <c r="V6">
        <v>58</v>
      </c>
      <c r="W6">
        <v>25</v>
      </c>
    </row>
    <row r="7" spans="1:23" ht="12.75" customHeight="1" x14ac:dyDescent="0.25">
      <c r="A7" t="s">
        <v>278</v>
      </c>
      <c r="B7" t="s">
        <v>65</v>
      </c>
      <c r="C7">
        <v>19157</v>
      </c>
      <c r="D7">
        <v>19075.567583884251</v>
      </c>
      <c r="E7">
        <v>15832.785665786083</v>
      </c>
      <c r="F7">
        <v>14320.693979243079</v>
      </c>
      <c r="G7">
        <v>12808.602292700074</v>
      </c>
      <c r="H7">
        <v>10748.090539953164</v>
      </c>
      <c r="I7">
        <v>8687.5787872062538</v>
      </c>
      <c r="J7">
        <v>7657.3229108327987</v>
      </c>
      <c r="K7">
        <v>4566.5552817124335</v>
      </c>
      <c r="M7" t="s">
        <v>16</v>
      </c>
      <c r="N7" t="s">
        <v>278</v>
      </c>
      <c r="O7">
        <v>458</v>
      </c>
      <c r="P7">
        <v>435</v>
      </c>
      <c r="Q7">
        <v>412</v>
      </c>
      <c r="R7">
        <v>357</v>
      </c>
      <c r="S7">
        <v>302</v>
      </c>
      <c r="T7">
        <v>256</v>
      </c>
      <c r="U7">
        <v>211</v>
      </c>
      <c r="V7">
        <v>188</v>
      </c>
      <c r="W7">
        <v>120</v>
      </c>
    </row>
    <row r="8" spans="1:23" s="271" customFormat="1" ht="12.75" customHeight="1" x14ac:dyDescent="0.25">
      <c r="A8" s="271" t="s">
        <v>279</v>
      </c>
      <c r="B8" s="271" t="s">
        <v>65</v>
      </c>
      <c r="C8" s="271">
        <v>0</v>
      </c>
      <c r="D8" s="271">
        <v>339.21154608061659</v>
      </c>
      <c r="E8" s="271">
        <v>1035.2299316197605</v>
      </c>
      <c r="F8" s="271">
        <v>1923.3579454660312</v>
      </c>
      <c r="G8" s="271">
        <v>2811.4859593123019</v>
      </c>
      <c r="H8" s="271">
        <v>2527.3314015785741</v>
      </c>
      <c r="I8" s="271">
        <v>2243.1768438448462</v>
      </c>
      <c r="J8" s="271">
        <v>2101.0995649779825</v>
      </c>
      <c r="K8" s="271">
        <v>1674.8677283773909</v>
      </c>
      <c r="M8" s="271" t="s">
        <v>16</v>
      </c>
      <c r="N8" s="271" t="s">
        <v>279</v>
      </c>
      <c r="O8" s="271">
        <v>0</v>
      </c>
      <c r="P8" s="271">
        <v>12</v>
      </c>
      <c r="Q8" s="271">
        <v>25</v>
      </c>
      <c r="R8" s="271">
        <v>45</v>
      </c>
      <c r="S8" s="271">
        <v>65</v>
      </c>
      <c r="T8" s="271">
        <v>59</v>
      </c>
      <c r="U8" s="271">
        <v>53</v>
      </c>
      <c r="V8" s="271">
        <v>50</v>
      </c>
      <c r="W8" s="271">
        <v>41</v>
      </c>
    </row>
    <row r="9" spans="1:23" ht="12.75" customHeight="1" x14ac:dyDescent="0.25">
      <c r="A9" t="s">
        <v>280</v>
      </c>
      <c r="B9" t="s">
        <v>65</v>
      </c>
      <c r="C9">
        <v>0</v>
      </c>
      <c r="D9">
        <v>588.47627728944849</v>
      </c>
      <c r="E9">
        <v>1095.8129618342425</v>
      </c>
      <c r="F9">
        <v>1367.2762327754281</v>
      </c>
      <c r="G9">
        <v>1638.7395037166134</v>
      </c>
      <c r="H9">
        <v>1339.6555444182718</v>
      </c>
      <c r="I9">
        <v>1040.5715851199302</v>
      </c>
      <c r="J9">
        <v>891.02960547075929</v>
      </c>
      <c r="K9">
        <v>442.40366652324684</v>
      </c>
      <c r="M9" t="s">
        <v>16</v>
      </c>
      <c r="N9" t="s">
        <v>280</v>
      </c>
      <c r="O9">
        <v>0</v>
      </c>
      <c r="P9">
        <v>13</v>
      </c>
      <c r="Q9">
        <v>26</v>
      </c>
      <c r="R9">
        <v>32</v>
      </c>
      <c r="S9">
        <v>37</v>
      </c>
      <c r="T9">
        <v>30</v>
      </c>
      <c r="U9">
        <v>23</v>
      </c>
      <c r="V9">
        <v>19</v>
      </c>
      <c r="W9">
        <v>8</v>
      </c>
    </row>
    <row r="10" spans="1:23" ht="12.75" customHeight="1" x14ac:dyDescent="0.25">
      <c r="A10" t="s">
        <v>281</v>
      </c>
      <c r="B10" t="s">
        <v>65</v>
      </c>
      <c r="C10">
        <v>0</v>
      </c>
      <c r="D10">
        <v>408.44386006507523</v>
      </c>
      <c r="E10">
        <v>169.77079293714104</v>
      </c>
      <c r="F10">
        <v>84.885396468570519</v>
      </c>
      <c r="G10">
        <v>0</v>
      </c>
      <c r="H10">
        <v>0</v>
      </c>
      <c r="I10">
        <v>0</v>
      </c>
      <c r="J10">
        <v>0</v>
      </c>
      <c r="K10">
        <v>0</v>
      </c>
      <c r="M10" t="s">
        <v>16</v>
      </c>
      <c r="N10" t="s">
        <v>281</v>
      </c>
      <c r="O10">
        <v>0</v>
      </c>
      <c r="P10">
        <v>2</v>
      </c>
      <c r="Q10">
        <v>4</v>
      </c>
      <c r="R10">
        <v>2</v>
      </c>
      <c r="S10">
        <v>0</v>
      </c>
      <c r="T10">
        <v>0</v>
      </c>
      <c r="U10">
        <v>0</v>
      </c>
      <c r="V10">
        <v>0</v>
      </c>
      <c r="W10">
        <v>0</v>
      </c>
    </row>
    <row r="11" spans="1:23" s="385" customFormat="1" ht="12.75" customHeight="1" x14ac:dyDescent="0.25">
      <c r="A11" s="385" t="s">
        <v>13</v>
      </c>
      <c r="B11" s="385" t="s">
        <v>65</v>
      </c>
      <c r="C11" s="385">
        <v>0</v>
      </c>
      <c r="D11" s="385">
        <v>634.21101468713482</v>
      </c>
      <c r="E11" s="385">
        <v>1939.9558555302299</v>
      </c>
      <c r="F11" s="385">
        <v>3970.1801107687538</v>
      </c>
      <c r="G11" s="385">
        <v>6000.4043660072775</v>
      </c>
      <c r="H11" s="385">
        <v>5738.9748386016799</v>
      </c>
      <c r="I11" s="385">
        <v>5477.5453111960815</v>
      </c>
      <c r="J11" s="385">
        <v>5346.8305474932822</v>
      </c>
      <c r="K11" s="385">
        <v>4954.6862563848845</v>
      </c>
      <c r="M11" s="385" t="s">
        <v>16</v>
      </c>
      <c r="N11" s="385" t="s">
        <v>13</v>
      </c>
      <c r="O11" s="385">
        <v>0</v>
      </c>
      <c r="P11" s="385">
        <v>23</v>
      </c>
      <c r="Q11" s="385">
        <v>46</v>
      </c>
      <c r="R11" s="385">
        <v>93</v>
      </c>
      <c r="S11" s="385">
        <v>140</v>
      </c>
      <c r="T11" s="385">
        <v>135</v>
      </c>
      <c r="U11" s="385">
        <v>130</v>
      </c>
      <c r="V11" s="385">
        <v>128</v>
      </c>
      <c r="W11" s="385">
        <v>121</v>
      </c>
    </row>
    <row r="12" spans="1:23" ht="12.75" customHeight="1" x14ac:dyDescent="0.25">
      <c r="A12" t="s">
        <v>282</v>
      </c>
      <c r="C12">
        <v>29886</v>
      </c>
      <c r="D12">
        <v>32684.968828523964</v>
      </c>
      <c r="E12">
        <v>31266.798568937575</v>
      </c>
      <c r="F12">
        <v>30260.078871942118</v>
      </c>
      <c r="G12">
        <v>29253.359174946665</v>
      </c>
      <c r="H12">
        <v>25759.772689012549</v>
      </c>
      <c r="I12">
        <v>22266.186203078443</v>
      </c>
      <c r="J12">
        <v>20519.392960111392</v>
      </c>
      <c r="K12">
        <v>15279.013231210223</v>
      </c>
      <c r="M12" t="s">
        <v>16</v>
      </c>
      <c r="N12" t="s">
        <v>282</v>
      </c>
      <c r="O12">
        <v>714</v>
      </c>
      <c r="P12">
        <v>730</v>
      </c>
      <c r="Q12">
        <v>746</v>
      </c>
      <c r="R12">
        <v>713</v>
      </c>
      <c r="S12">
        <v>681</v>
      </c>
      <c r="T12">
        <v>604</v>
      </c>
      <c r="U12">
        <v>526</v>
      </c>
      <c r="V12">
        <v>487</v>
      </c>
      <c r="W12">
        <v>371</v>
      </c>
    </row>
    <row r="13" spans="1:23" ht="12.75" customHeight="1" x14ac:dyDescent="0.25">
      <c r="D13">
        <v>2196370.4249105351</v>
      </c>
      <c r="E13">
        <v>1986918.7766279592</v>
      </c>
      <c r="F13">
        <v>1710274.5441133208</v>
      </c>
      <c r="G13">
        <v>1433630.3115986825</v>
      </c>
      <c r="H13">
        <v>1207943.9813583419</v>
      </c>
      <c r="I13">
        <v>982257.6511180012</v>
      </c>
      <c r="J13">
        <v>756571.32087766053</v>
      </c>
      <c r="K13">
        <v>530884.99063731998</v>
      </c>
    </row>
    <row r="14" spans="1:23" ht="12.75" customHeight="1" x14ac:dyDescent="0.25">
      <c r="A14" s="65" t="s">
        <v>283</v>
      </c>
      <c r="C14" t="s">
        <v>29</v>
      </c>
      <c r="D14" t="s">
        <v>284</v>
      </c>
    </row>
    <row r="15" spans="1:23" ht="12.75" customHeight="1" x14ac:dyDescent="0.25">
      <c r="A15" s="65" t="s">
        <v>997</v>
      </c>
      <c r="B15" t="s">
        <v>273</v>
      </c>
    </row>
    <row r="16" spans="1:23" ht="12.75" customHeight="1" x14ac:dyDescent="0.25">
      <c r="A16" t="s">
        <v>274</v>
      </c>
      <c r="B16" t="s">
        <v>143</v>
      </c>
      <c r="C16">
        <v>2010</v>
      </c>
      <c r="D16">
        <v>2015</v>
      </c>
      <c r="E16">
        <v>2020</v>
      </c>
      <c r="F16">
        <v>2025</v>
      </c>
      <c r="G16">
        <v>2030</v>
      </c>
      <c r="H16">
        <v>2035</v>
      </c>
      <c r="I16">
        <v>2040</v>
      </c>
      <c r="J16">
        <v>2045</v>
      </c>
      <c r="K16">
        <v>2050</v>
      </c>
    </row>
    <row r="17" spans="1:23" ht="12.75" customHeight="1" x14ac:dyDescent="0.25">
      <c r="A17" t="s">
        <v>275</v>
      </c>
    </row>
    <row r="18" spans="1:23" ht="12.75" customHeight="1" x14ac:dyDescent="0.25">
      <c r="A18" t="s">
        <v>276</v>
      </c>
      <c r="B18" t="s">
        <v>65</v>
      </c>
      <c r="C18">
        <v>228</v>
      </c>
      <c r="D18">
        <v>209.4813399775885</v>
      </c>
      <c r="E18">
        <v>207.80731195651595</v>
      </c>
      <c r="F18">
        <v>298.08571481625756</v>
      </c>
      <c r="G18">
        <v>388.36411767599918</v>
      </c>
      <c r="H18">
        <v>525.4373583636326</v>
      </c>
      <c r="I18">
        <v>662.51059905126601</v>
      </c>
      <c r="J18">
        <v>731.04721939508272</v>
      </c>
      <c r="K18">
        <v>936.65708042653284</v>
      </c>
    </row>
    <row r="19" spans="1:23" ht="12.75" customHeight="1" x14ac:dyDescent="0.25">
      <c r="A19" t="s">
        <v>277</v>
      </c>
      <c r="B19" t="s">
        <v>65</v>
      </c>
      <c r="C19">
        <v>10.500999999999999</v>
      </c>
      <c r="D19">
        <v>12866.21833970031</v>
      </c>
      <c r="E19">
        <v>15231.284089399347</v>
      </c>
      <c r="F19">
        <v>14902.035797401917</v>
      </c>
      <c r="G19">
        <v>14572.787505404489</v>
      </c>
      <c r="H19">
        <v>13331.782626746219</v>
      </c>
      <c r="I19">
        <v>12090.777748087947</v>
      </c>
      <c r="J19">
        <v>11470.275308758812</v>
      </c>
      <c r="K19">
        <v>9608.7679907714046</v>
      </c>
    </row>
    <row r="20" spans="1:23" ht="12.75" customHeight="1" x14ac:dyDescent="0.25">
      <c r="A20" t="s">
        <v>278</v>
      </c>
      <c r="B20" t="s">
        <v>65</v>
      </c>
      <c r="C20">
        <v>19.157</v>
      </c>
      <c r="D20">
        <v>20237.515077525866</v>
      </c>
      <c r="E20">
        <v>21318.042453557213</v>
      </c>
      <c r="F20">
        <v>24217.613071957807</v>
      </c>
      <c r="G20">
        <v>27117.183690358401</v>
      </c>
      <c r="H20">
        <v>26222.051947456348</v>
      </c>
      <c r="I20">
        <v>25326.920204554299</v>
      </c>
      <c r="J20">
        <v>24879.354333103271</v>
      </c>
      <c r="K20">
        <v>23536.656718750193</v>
      </c>
    </row>
    <row r="21" spans="1:23" ht="12.75" customHeight="1" x14ac:dyDescent="0.25">
      <c r="A21" t="s">
        <v>279</v>
      </c>
      <c r="B21" t="s">
        <v>65</v>
      </c>
      <c r="C21">
        <v>0</v>
      </c>
      <c r="D21">
        <v>199.60485519164462</v>
      </c>
      <c r="E21">
        <v>399.20971038328923</v>
      </c>
      <c r="F21">
        <v>963.49185785711961</v>
      </c>
      <c r="G21">
        <v>1527.7740053309501</v>
      </c>
      <c r="H21">
        <v>1610.8583722906606</v>
      </c>
      <c r="I21">
        <v>1693.9427392503712</v>
      </c>
      <c r="J21">
        <v>1735.4849227302266</v>
      </c>
      <c r="K21">
        <v>1860.1114731697926</v>
      </c>
    </row>
    <row r="22" spans="1:23" ht="12.75" customHeight="1" x14ac:dyDescent="0.25">
      <c r="A22" t="s">
        <v>280</v>
      </c>
      <c r="B22" t="s">
        <v>65</v>
      </c>
      <c r="C22">
        <v>0</v>
      </c>
      <c r="D22">
        <v>576.9425791439146</v>
      </c>
      <c r="E22">
        <v>1153.8851582878292</v>
      </c>
      <c r="F22">
        <v>1184.1420585357682</v>
      </c>
      <c r="G22">
        <v>1214.3989587837075</v>
      </c>
      <c r="H22">
        <v>1155.9208515054186</v>
      </c>
      <c r="I22">
        <v>1097.4427442271297</v>
      </c>
      <c r="J22">
        <v>1068.2036905879852</v>
      </c>
      <c r="K22">
        <v>980.48652967055182</v>
      </c>
    </row>
    <row r="23" spans="1:23" ht="12.75" customHeight="1" x14ac:dyDescent="0.25">
      <c r="A23" t="s">
        <v>281</v>
      </c>
      <c r="B23" t="s">
        <v>65</v>
      </c>
      <c r="C23">
        <v>0</v>
      </c>
      <c r="D23">
        <v>1165.9714951902856</v>
      </c>
      <c r="E23">
        <v>2331.9429903805712</v>
      </c>
      <c r="F23">
        <v>2688.3924883259488</v>
      </c>
      <c r="G23">
        <v>3044.8419862713258</v>
      </c>
      <c r="H23">
        <v>2824.7180965111138</v>
      </c>
      <c r="I23">
        <v>2604.5942067509013</v>
      </c>
      <c r="J23">
        <v>2494.5322618707955</v>
      </c>
      <c r="K23">
        <v>2164.3464272304773</v>
      </c>
    </row>
    <row r="24" spans="1:23" ht="12.75" customHeight="1" x14ac:dyDescent="0.25">
      <c r="A24" t="s">
        <v>13</v>
      </c>
      <c r="B24" t="s">
        <v>65</v>
      </c>
      <c r="C24">
        <v>0</v>
      </c>
      <c r="D24">
        <v>0</v>
      </c>
      <c r="E24">
        <v>0</v>
      </c>
      <c r="F24">
        <v>0</v>
      </c>
      <c r="G24">
        <v>0</v>
      </c>
      <c r="H24">
        <v>0</v>
      </c>
      <c r="I24">
        <v>0</v>
      </c>
      <c r="J24">
        <v>0</v>
      </c>
      <c r="K24">
        <v>0</v>
      </c>
    </row>
    <row r="25" spans="1:23" ht="12.75" customHeight="1" x14ac:dyDescent="0.25">
      <c r="A25" t="s">
        <v>282</v>
      </c>
      <c r="C25">
        <v>29.885999999999999</v>
      </c>
      <c r="D25">
        <v>35255.733686729611</v>
      </c>
      <c r="E25">
        <v>40642.171713964759</v>
      </c>
      <c r="F25">
        <v>44253.760988894821</v>
      </c>
      <c r="G25">
        <v>47865.350263824876</v>
      </c>
      <c r="H25">
        <v>45670.769252873397</v>
      </c>
      <c r="I25">
        <v>43476.188241921911</v>
      </c>
      <c r="J25">
        <v>42378.897736446168</v>
      </c>
      <c r="K25">
        <v>39087.026220018954</v>
      </c>
    </row>
    <row r="28" spans="1:23" ht="12.75" customHeight="1" x14ac:dyDescent="0.25">
      <c r="A28" s="12" t="s">
        <v>285</v>
      </c>
      <c r="B28" t="s">
        <v>273</v>
      </c>
    </row>
    <row r="29" spans="1:23" ht="12.75" customHeight="1" x14ac:dyDescent="0.25">
      <c r="A29" t="s">
        <v>274</v>
      </c>
      <c r="B29" t="s">
        <v>143</v>
      </c>
      <c r="C29">
        <v>2010</v>
      </c>
      <c r="D29">
        <v>2015</v>
      </c>
      <c r="E29">
        <v>2020</v>
      </c>
      <c r="F29">
        <v>2025</v>
      </c>
      <c r="G29">
        <v>2030</v>
      </c>
      <c r="H29">
        <v>2035</v>
      </c>
      <c r="I29">
        <v>2040</v>
      </c>
      <c r="J29">
        <v>2045</v>
      </c>
      <c r="K29">
        <v>2050</v>
      </c>
      <c r="M29" t="s">
        <v>143</v>
      </c>
      <c r="O29">
        <v>2010</v>
      </c>
      <c r="P29">
        <v>2015</v>
      </c>
      <c r="Q29">
        <v>2020</v>
      </c>
      <c r="R29">
        <v>2025</v>
      </c>
      <c r="S29">
        <v>2030</v>
      </c>
      <c r="T29">
        <v>2035</v>
      </c>
      <c r="U29">
        <v>2040</v>
      </c>
      <c r="V29">
        <v>2045</v>
      </c>
      <c r="W29">
        <v>2050</v>
      </c>
    </row>
    <row r="30" spans="1:23" ht="12.75" customHeight="1" x14ac:dyDescent="0.25">
      <c r="A30" t="s">
        <v>275</v>
      </c>
    </row>
    <row r="31" spans="1:23" ht="12.75" customHeight="1" x14ac:dyDescent="0.25">
      <c r="A31" t="s">
        <v>276</v>
      </c>
      <c r="B31" t="s">
        <v>65</v>
      </c>
      <c r="C31">
        <v>228</v>
      </c>
      <c r="D31">
        <v>217.90365597825797</v>
      </c>
      <c r="E31">
        <v>190.96267995517698</v>
      </c>
      <c r="F31">
        <v>336.51250122180886</v>
      </c>
      <c r="G31">
        <v>482.06232248844071</v>
      </c>
      <c r="H31">
        <v>665.30614568210103</v>
      </c>
      <c r="I31">
        <v>848.54996887576124</v>
      </c>
      <c r="J31">
        <v>940.1718804725914</v>
      </c>
      <c r="K31">
        <v>1215.0376152630818</v>
      </c>
      <c r="M31" t="s">
        <v>16</v>
      </c>
      <c r="N31" t="s">
        <v>276</v>
      </c>
      <c r="O31">
        <v>5</v>
      </c>
      <c r="P31">
        <v>5</v>
      </c>
      <c r="Q31">
        <v>5</v>
      </c>
      <c r="R31">
        <v>8</v>
      </c>
      <c r="S31">
        <v>11</v>
      </c>
      <c r="T31">
        <v>16</v>
      </c>
      <c r="U31">
        <v>20</v>
      </c>
      <c r="V31">
        <v>22</v>
      </c>
      <c r="W31">
        <v>29</v>
      </c>
    </row>
    <row r="32" spans="1:23" ht="12.75" customHeight="1" x14ac:dyDescent="0.25">
      <c r="A32" t="s">
        <v>277</v>
      </c>
      <c r="B32" t="s">
        <v>65</v>
      </c>
      <c r="C32">
        <v>10501</v>
      </c>
      <c r="D32">
        <v>11429.577206539847</v>
      </c>
      <c r="E32">
        <v>12358.001823078419</v>
      </c>
      <c r="F32">
        <v>11590.806850986628</v>
      </c>
      <c r="G32">
        <v>10823.611878894839</v>
      </c>
      <c r="H32">
        <v>9635.9811546664787</v>
      </c>
      <c r="I32">
        <v>8448.3504304381167</v>
      </c>
      <c r="J32">
        <v>7854.5350683239358</v>
      </c>
      <c r="K32">
        <v>6073.0889819813938</v>
      </c>
      <c r="M32" t="s">
        <v>16</v>
      </c>
      <c r="N32" t="s">
        <v>277</v>
      </c>
      <c r="O32">
        <v>251</v>
      </c>
      <c r="P32">
        <v>247</v>
      </c>
      <c r="Q32">
        <v>244</v>
      </c>
      <c r="R32">
        <v>245</v>
      </c>
      <c r="S32">
        <v>247</v>
      </c>
      <c r="T32">
        <v>222</v>
      </c>
      <c r="U32">
        <v>196</v>
      </c>
      <c r="V32">
        <v>183</v>
      </c>
      <c r="W32">
        <v>145</v>
      </c>
    </row>
    <row r="33" spans="1:23" ht="12.75" customHeight="1" x14ac:dyDescent="0.25">
      <c r="A33" t="s">
        <v>278</v>
      </c>
      <c r="B33" t="s">
        <v>65</v>
      </c>
      <c r="C33">
        <v>19157</v>
      </c>
      <c r="D33">
        <v>19075.567583884251</v>
      </c>
      <c r="E33">
        <v>18994.147466273982</v>
      </c>
      <c r="F33">
        <v>19358.857422044901</v>
      </c>
      <c r="G33">
        <v>19723.567377815816</v>
      </c>
      <c r="H33">
        <v>19278.218915204146</v>
      </c>
      <c r="I33">
        <v>18832.87045259248</v>
      </c>
      <c r="J33">
        <v>18610.196221286646</v>
      </c>
      <c r="K33">
        <v>17942.173527369145</v>
      </c>
      <c r="M33" t="s">
        <v>16</v>
      </c>
      <c r="N33" t="s">
        <v>278</v>
      </c>
      <c r="O33">
        <v>458</v>
      </c>
      <c r="P33">
        <v>480</v>
      </c>
      <c r="Q33">
        <v>502</v>
      </c>
      <c r="R33">
        <v>474</v>
      </c>
      <c r="S33">
        <v>446</v>
      </c>
      <c r="T33">
        <v>441</v>
      </c>
      <c r="U33">
        <v>436</v>
      </c>
      <c r="V33">
        <v>434</v>
      </c>
      <c r="W33">
        <v>427</v>
      </c>
    </row>
    <row r="34" spans="1:23" ht="12.75" customHeight="1" x14ac:dyDescent="0.25">
      <c r="A34" t="s">
        <v>279</v>
      </c>
      <c r="B34" t="s">
        <v>65</v>
      </c>
      <c r="C34">
        <v>0</v>
      </c>
      <c r="D34">
        <v>339.21154608061659</v>
      </c>
      <c r="E34">
        <v>678.42309216123317</v>
      </c>
      <c r="F34">
        <v>1766.8245214433359</v>
      </c>
      <c r="G34">
        <v>2855.2259507254385</v>
      </c>
      <c r="H34">
        <v>2870.3633311232197</v>
      </c>
      <c r="I34">
        <v>2885.500711521001</v>
      </c>
      <c r="J34">
        <v>2893.0694017198916</v>
      </c>
      <c r="K34">
        <v>2915.7754723165635</v>
      </c>
      <c r="M34" t="s">
        <v>16</v>
      </c>
      <c r="N34" t="s">
        <v>279</v>
      </c>
      <c r="O34">
        <v>0</v>
      </c>
      <c r="P34">
        <v>8</v>
      </c>
      <c r="Q34">
        <v>16</v>
      </c>
      <c r="R34">
        <v>52</v>
      </c>
      <c r="S34">
        <v>87</v>
      </c>
      <c r="T34">
        <v>83</v>
      </c>
      <c r="U34">
        <v>78</v>
      </c>
      <c r="V34">
        <v>76</v>
      </c>
      <c r="W34">
        <v>70</v>
      </c>
    </row>
    <row r="35" spans="1:23" ht="12.75" customHeight="1" x14ac:dyDescent="0.25">
      <c r="A35" t="s">
        <v>280</v>
      </c>
      <c r="B35" t="s">
        <v>65</v>
      </c>
      <c r="C35">
        <v>0</v>
      </c>
      <c r="D35">
        <v>588.47627728944849</v>
      </c>
      <c r="E35">
        <v>1176.952554578897</v>
      </c>
      <c r="F35">
        <v>1129.6568712341905</v>
      </c>
      <c r="G35">
        <v>1082.3611878894837</v>
      </c>
      <c r="H35">
        <v>985.28771897372405</v>
      </c>
      <c r="I35">
        <v>888.21425005796436</v>
      </c>
      <c r="J35">
        <v>839.67751560008458</v>
      </c>
      <c r="K35">
        <v>694.0673122264451</v>
      </c>
      <c r="M35" t="s">
        <v>16</v>
      </c>
      <c r="N35" t="s">
        <v>280</v>
      </c>
      <c r="O35">
        <v>0</v>
      </c>
      <c r="P35">
        <v>14</v>
      </c>
      <c r="Q35">
        <v>28</v>
      </c>
      <c r="R35">
        <v>26</v>
      </c>
      <c r="S35">
        <v>25</v>
      </c>
      <c r="T35">
        <v>23</v>
      </c>
      <c r="U35">
        <v>21</v>
      </c>
      <c r="V35">
        <v>20</v>
      </c>
      <c r="W35">
        <v>17</v>
      </c>
    </row>
    <row r="36" spans="1:23" ht="12.75" customHeight="1" x14ac:dyDescent="0.25">
      <c r="A36" t="s">
        <v>281</v>
      </c>
      <c r="B36" t="s">
        <v>65</v>
      </c>
      <c r="C36">
        <v>0</v>
      </c>
      <c r="D36">
        <v>408.44386006507523</v>
      </c>
      <c r="E36">
        <v>816.88772013015046</v>
      </c>
      <c r="F36">
        <v>469.26995015649578</v>
      </c>
      <c r="G36">
        <v>121.65218018284112</v>
      </c>
      <c r="H36">
        <v>91.239135137130845</v>
      </c>
      <c r="I36">
        <v>60.826090091420561</v>
      </c>
      <c r="J36">
        <v>45.619567568565422</v>
      </c>
      <c r="K36">
        <v>0</v>
      </c>
      <c r="M36" t="s">
        <v>16</v>
      </c>
      <c r="N36" t="s">
        <v>281</v>
      </c>
      <c r="O36">
        <v>0</v>
      </c>
      <c r="P36">
        <v>10</v>
      </c>
      <c r="Q36">
        <v>20</v>
      </c>
      <c r="R36">
        <v>11</v>
      </c>
      <c r="S36">
        <v>3</v>
      </c>
      <c r="T36">
        <v>2</v>
      </c>
      <c r="U36">
        <v>2</v>
      </c>
      <c r="V36">
        <v>2</v>
      </c>
      <c r="W36">
        <v>1</v>
      </c>
    </row>
    <row r="37" spans="1:23" ht="12.75" customHeight="1" x14ac:dyDescent="0.25">
      <c r="A37" t="s">
        <v>13</v>
      </c>
      <c r="B37" t="s">
        <v>65</v>
      </c>
      <c r="C37">
        <v>0</v>
      </c>
      <c r="D37">
        <v>634.21101468713482</v>
      </c>
      <c r="E37">
        <v>1268.4220293742696</v>
      </c>
      <c r="F37">
        <v>3138.5222169127783</v>
      </c>
      <c r="G37">
        <v>5008.6224044512874</v>
      </c>
      <c r="H37">
        <v>5131.1361718072931</v>
      </c>
      <c r="I37">
        <v>5253.6499391632979</v>
      </c>
      <c r="J37">
        <v>5314.9068228413007</v>
      </c>
      <c r="K37">
        <v>5498.6774738753084</v>
      </c>
      <c r="M37" t="s">
        <v>16</v>
      </c>
      <c r="N37" t="s">
        <v>13</v>
      </c>
      <c r="O37">
        <v>0</v>
      </c>
      <c r="P37">
        <v>15</v>
      </c>
      <c r="Q37">
        <v>30</v>
      </c>
      <c r="R37">
        <v>74</v>
      </c>
      <c r="S37">
        <v>118</v>
      </c>
      <c r="T37">
        <v>121</v>
      </c>
      <c r="U37">
        <v>124</v>
      </c>
      <c r="V37">
        <v>126</v>
      </c>
      <c r="W37">
        <v>131</v>
      </c>
    </row>
    <row r="38" spans="1:23" ht="12.75" customHeight="1" x14ac:dyDescent="0.25">
      <c r="A38" t="s">
        <v>282</v>
      </c>
      <c r="C38">
        <v>29886</v>
      </c>
      <c r="D38">
        <v>32684.968828523961</v>
      </c>
      <c r="E38">
        <v>35483.797365552127</v>
      </c>
      <c r="F38">
        <v>37790.450334000132</v>
      </c>
      <c r="G38">
        <v>40097.103302448137</v>
      </c>
      <c r="H38">
        <v>38657.5325725941</v>
      </c>
      <c r="I38">
        <v>37217.961842740049</v>
      </c>
      <c r="J38">
        <v>36498.176477813016</v>
      </c>
      <c r="K38">
        <v>34338.82038303194</v>
      </c>
      <c r="M38" t="s">
        <v>16</v>
      </c>
      <c r="O38">
        <v>714</v>
      </c>
      <c r="P38">
        <v>779</v>
      </c>
      <c r="Q38">
        <v>845</v>
      </c>
      <c r="R38">
        <v>890</v>
      </c>
      <c r="S38">
        <v>936</v>
      </c>
      <c r="T38">
        <v>907</v>
      </c>
      <c r="U38">
        <v>878</v>
      </c>
      <c r="V38">
        <v>864</v>
      </c>
      <c r="W38">
        <v>820</v>
      </c>
    </row>
    <row r="39" spans="1:23" ht="12.75" customHeight="1" x14ac:dyDescent="0.25">
      <c r="A39" t="s">
        <v>286</v>
      </c>
      <c r="B39" t="s">
        <v>287</v>
      </c>
    </row>
    <row r="41" spans="1:23" ht="12.75" customHeight="1" x14ac:dyDescent="0.25">
      <c r="A41" t="s">
        <v>288</v>
      </c>
    </row>
    <row r="42" spans="1:23" ht="12.75" customHeight="1" x14ac:dyDescent="0.25">
      <c r="A42" t="s">
        <v>283</v>
      </c>
      <c r="C42">
        <v>42</v>
      </c>
      <c r="D42">
        <v>228</v>
      </c>
    </row>
    <row r="43" spans="1:23" ht="12.75" customHeight="1" x14ac:dyDescent="0.25">
      <c r="B43" t="s">
        <v>273</v>
      </c>
    </row>
    <row r="44" spans="1:23" ht="12.75" customHeight="1" x14ac:dyDescent="0.25">
      <c r="A44" t="s">
        <v>274</v>
      </c>
      <c r="B44" t="s">
        <v>143</v>
      </c>
      <c r="C44">
        <v>2010</v>
      </c>
      <c r="D44">
        <v>2015</v>
      </c>
      <c r="E44">
        <v>2020</v>
      </c>
      <c r="F44">
        <v>2025</v>
      </c>
      <c r="G44">
        <v>2030</v>
      </c>
      <c r="H44">
        <v>2035</v>
      </c>
      <c r="I44">
        <v>2040</v>
      </c>
      <c r="J44">
        <v>2045</v>
      </c>
      <c r="K44">
        <v>2050</v>
      </c>
      <c r="M44" t="s">
        <v>143</v>
      </c>
      <c r="O44">
        <v>2010</v>
      </c>
      <c r="P44">
        <v>2015</v>
      </c>
      <c r="Q44">
        <v>2020</v>
      </c>
      <c r="R44">
        <v>2025</v>
      </c>
      <c r="S44">
        <v>2030</v>
      </c>
      <c r="T44">
        <v>2035</v>
      </c>
      <c r="U44">
        <v>2040</v>
      </c>
      <c r="V44">
        <v>2045</v>
      </c>
      <c r="W44">
        <v>2050</v>
      </c>
    </row>
    <row r="45" spans="1:23" ht="12.75" customHeight="1" x14ac:dyDescent="0.25">
      <c r="A45" t="s">
        <v>275</v>
      </c>
      <c r="O45" s="647">
        <v>2010</v>
      </c>
      <c r="P45" s="647">
        <v>2015</v>
      </c>
      <c r="Q45" s="647">
        <v>2020</v>
      </c>
      <c r="R45" s="647">
        <v>2025</v>
      </c>
      <c r="S45" s="647">
        <v>2030</v>
      </c>
      <c r="T45" s="647">
        <v>2035</v>
      </c>
      <c r="U45" s="647">
        <v>2040</v>
      </c>
      <c r="V45" s="647">
        <v>2045</v>
      </c>
      <c r="W45" s="647">
        <v>2050</v>
      </c>
    </row>
    <row r="46" spans="1:23" ht="12.75" customHeight="1" x14ac:dyDescent="0.25">
      <c r="A46" t="s">
        <v>276</v>
      </c>
      <c r="B46" t="s">
        <v>65</v>
      </c>
      <c r="C46">
        <v>228</v>
      </c>
      <c r="D46">
        <v>218</v>
      </c>
      <c r="E46">
        <v>208</v>
      </c>
      <c r="F46">
        <v>303</v>
      </c>
      <c r="G46">
        <v>398</v>
      </c>
      <c r="H46">
        <v>533</v>
      </c>
      <c r="I46">
        <v>667</v>
      </c>
      <c r="J46">
        <v>735</v>
      </c>
      <c r="K46">
        <v>937</v>
      </c>
      <c r="M46" t="s">
        <v>16</v>
      </c>
      <c r="N46" t="s">
        <v>276</v>
      </c>
      <c r="O46">
        <v>5</v>
      </c>
      <c r="P46">
        <v>5</v>
      </c>
      <c r="Q46">
        <v>5</v>
      </c>
      <c r="R46">
        <v>7</v>
      </c>
      <c r="S46">
        <v>10</v>
      </c>
      <c r="T46">
        <v>13</v>
      </c>
      <c r="U46">
        <v>16</v>
      </c>
      <c r="V46">
        <v>18</v>
      </c>
      <c r="W46">
        <v>22</v>
      </c>
    </row>
    <row r="47" spans="1:23" ht="12.75" customHeight="1" x14ac:dyDescent="0.25">
      <c r="A47" t="s">
        <v>277</v>
      </c>
      <c r="B47" t="s">
        <v>65</v>
      </c>
      <c r="C47">
        <v>10501</v>
      </c>
      <c r="D47">
        <v>12866</v>
      </c>
      <c r="E47">
        <v>15231</v>
      </c>
      <c r="F47">
        <v>12826</v>
      </c>
      <c r="G47">
        <v>10421</v>
      </c>
      <c r="H47">
        <v>10022</v>
      </c>
      <c r="I47">
        <v>9623</v>
      </c>
      <c r="J47">
        <v>9423</v>
      </c>
      <c r="K47">
        <v>8824</v>
      </c>
      <c r="M47" t="s">
        <v>16</v>
      </c>
      <c r="N47" t="s">
        <v>277</v>
      </c>
      <c r="O47">
        <v>251</v>
      </c>
      <c r="P47">
        <v>307</v>
      </c>
      <c r="Q47">
        <v>364</v>
      </c>
      <c r="R47">
        <v>306</v>
      </c>
      <c r="S47">
        <v>249</v>
      </c>
      <c r="T47">
        <v>239</v>
      </c>
      <c r="U47">
        <v>230</v>
      </c>
      <c r="V47">
        <v>225</v>
      </c>
      <c r="W47">
        <v>211</v>
      </c>
    </row>
    <row r="48" spans="1:23" ht="12.75" customHeight="1" x14ac:dyDescent="0.25">
      <c r="A48" t="s">
        <v>278</v>
      </c>
      <c r="B48" t="s">
        <v>65</v>
      </c>
      <c r="C48">
        <v>19157</v>
      </c>
      <c r="D48">
        <v>20052</v>
      </c>
      <c r="E48">
        <v>20947</v>
      </c>
      <c r="F48">
        <v>25061</v>
      </c>
      <c r="G48">
        <v>29175</v>
      </c>
      <c r="H48">
        <v>27749</v>
      </c>
      <c r="I48">
        <v>26323</v>
      </c>
      <c r="J48">
        <v>25609</v>
      </c>
      <c r="K48">
        <v>23470</v>
      </c>
      <c r="M48" t="s">
        <v>16</v>
      </c>
      <c r="N48" t="s">
        <v>278</v>
      </c>
      <c r="O48">
        <v>458</v>
      </c>
      <c r="P48">
        <v>479</v>
      </c>
      <c r="Q48">
        <v>500</v>
      </c>
      <c r="R48">
        <v>599</v>
      </c>
      <c r="S48">
        <v>697</v>
      </c>
      <c r="T48">
        <v>663</v>
      </c>
      <c r="U48">
        <v>629</v>
      </c>
      <c r="V48">
        <v>612</v>
      </c>
      <c r="W48">
        <v>561</v>
      </c>
    </row>
    <row r="49" spans="1:23" ht="12.75" customHeight="1" x14ac:dyDescent="0.25">
      <c r="A49" t="s">
        <v>279</v>
      </c>
      <c r="B49" t="s">
        <v>65</v>
      </c>
      <c r="C49">
        <v>0</v>
      </c>
      <c r="D49">
        <v>200</v>
      </c>
      <c r="E49">
        <v>399</v>
      </c>
      <c r="F49">
        <v>947</v>
      </c>
      <c r="G49">
        <v>1494</v>
      </c>
      <c r="H49">
        <v>1384</v>
      </c>
      <c r="I49">
        <v>1274</v>
      </c>
      <c r="J49">
        <v>1218</v>
      </c>
      <c r="K49">
        <v>1053</v>
      </c>
      <c r="M49" t="s">
        <v>16</v>
      </c>
      <c r="N49" t="s">
        <v>279</v>
      </c>
      <c r="O49">
        <v>0</v>
      </c>
      <c r="P49">
        <v>5</v>
      </c>
      <c r="Q49">
        <v>10</v>
      </c>
      <c r="R49">
        <v>23</v>
      </c>
      <c r="S49">
        <v>36</v>
      </c>
      <c r="T49">
        <v>33</v>
      </c>
      <c r="U49">
        <v>30</v>
      </c>
      <c r="V49">
        <v>29</v>
      </c>
      <c r="W49">
        <v>25</v>
      </c>
    </row>
    <row r="50" spans="1:23" ht="12.75" customHeight="1" x14ac:dyDescent="0.25">
      <c r="A50" t="s">
        <v>280</v>
      </c>
      <c r="B50" t="s">
        <v>65</v>
      </c>
      <c r="C50">
        <v>0</v>
      </c>
      <c r="D50">
        <v>577</v>
      </c>
      <c r="E50">
        <v>1154</v>
      </c>
      <c r="F50">
        <v>1156</v>
      </c>
      <c r="G50">
        <v>1158</v>
      </c>
      <c r="H50">
        <v>1114</v>
      </c>
      <c r="I50">
        <v>1069</v>
      </c>
      <c r="J50">
        <v>1047</v>
      </c>
      <c r="K50">
        <v>980</v>
      </c>
      <c r="M50" t="s">
        <v>16</v>
      </c>
      <c r="N50" t="s">
        <v>280</v>
      </c>
      <c r="O50">
        <v>0</v>
      </c>
      <c r="P50">
        <v>14</v>
      </c>
      <c r="Q50">
        <v>28</v>
      </c>
      <c r="R50">
        <v>28</v>
      </c>
      <c r="S50">
        <v>28</v>
      </c>
      <c r="T50">
        <v>27</v>
      </c>
      <c r="U50">
        <v>26</v>
      </c>
      <c r="V50">
        <v>25</v>
      </c>
      <c r="W50">
        <v>23</v>
      </c>
    </row>
    <row r="51" spans="1:23" ht="12.75" customHeight="1" x14ac:dyDescent="0.25">
      <c r="A51" t="s">
        <v>281</v>
      </c>
      <c r="B51" t="s">
        <v>65</v>
      </c>
      <c r="C51">
        <v>0</v>
      </c>
      <c r="D51">
        <v>1166</v>
      </c>
      <c r="E51">
        <v>2332</v>
      </c>
      <c r="F51">
        <v>2436</v>
      </c>
      <c r="G51">
        <v>2539</v>
      </c>
      <c r="H51">
        <v>2496</v>
      </c>
      <c r="I51">
        <v>2452</v>
      </c>
      <c r="J51">
        <v>2430</v>
      </c>
      <c r="K51">
        <v>2365</v>
      </c>
      <c r="M51" t="s">
        <v>16</v>
      </c>
      <c r="N51" t="s">
        <v>281</v>
      </c>
      <c r="O51">
        <v>0</v>
      </c>
      <c r="P51">
        <v>28</v>
      </c>
      <c r="Q51">
        <v>56</v>
      </c>
      <c r="R51">
        <v>58</v>
      </c>
      <c r="S51">
        <v>61</v>
      </c>
      <c r="T51">
        <v>60</v>
      </c>
      <c r="U51">
        <v>59</v>
      </c>
      <c r="V51">
        <v>58</v>
      </c>
      <c r="W51">
        <v>56</v>
      </c>
    </row>
    <row r="52" spans="1:23" ht="12.75" customHeight="1" x14ac:dyDescent="0.25">
      <c r="A52" t="s">
        <v>13</v>
      </c>
      <c r="B52" t="s">
        <v>65</v>
      </c>
      <c r="C52">
        <v>0</v>
      </c>
      <c r="D52">
        <v>200</v>
      </c>
      <c r="E52">
        <v>399</v>
      </c>
      <c r="F52">
        <v>947</v>
      </c>
      <c r="G52">
        <v>1494</v>
      </c>
      <c r="H52">
        <v>1481</v>
      </c>
      <c r="I52">
        <v>1467</v>
      </c>
      <c r="J52">
        <v>1461</v>
      </c>
      <c r="K52">
        <v>1441</v>
      </c>
      <c r="M52" t="s">
        <v>16</v>
      </c>
      <c r="N52" t="s">
        <v>13</v>
      </c>
      <c r="O52">
        <v>0</v>
      </c>
      <c r="P52">
        <v>5</v>
      </c>
      <c r="Q52">
        <v>10</v>
      </c>
      <c r="R52">
        <v>23</v>
      </c>
      <c r="S52">
        <v>36</v>
      </c>
      <c r="T52">
        <v>35</v>
      </c>
      <c r="U52">
        <v>35</v>
      </c>
      <c r="V52">
        <v>35</v>
      </c>
      <c r="W52">
        <v>34</v>
      </c>
    </row>
    <row r="53" spans="1:23" ht="12.75" customHeight="1" x14ac:dyDescent="0.25">
      <c r="A53" t="s">
        <v>282</v>
      </c>
      <c r="C53">
        <v>29886</v>
      </c>
      <c r="D53">
        <v>35278</v>
      </c>
      <c r="E53">
        <v>40671</v>
      </c>
      <c r="F53">
        <v>43675</v>
      </c>
      <c r="G53">
        <v>46680</v>
      </c>
      <c r="H53">
        <v>44777</v>
      </c>
      <c r="I53">
        <v>42875</v>
      </c>
      <c r="J53">
        <v>41923</v>
      </c>
      <c r="K53">
        <v>39069</v>
      </c>
      <c r="M53" t="s">
        <v>16</v>
      </c>
      <c r="O53">
        <v>714</v>
      </c>
      <c r="P53">
        <v>843</v>
      </c>
      <c r="Q53">
        <v>971</v>
      </c>
      <c r="R53">
        <v>1043</v>
      </c>
      <c r="S53">
        <v>1115</v>
      </c>
      <c r="T53">
        <v>1069</v>
      </c>
      <c r="U53">
        <v>1024</v>
      </c>
      <c r="V53">
        <v>1001</v>
      </c>
      <c r="W53">
        <v>933</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ColWidth="17.109375" defaultRowHeight="12.75" customHeight="1" x14ac:dyDescent="0.25"/>
  <cols>
    <col min="3" max="3" width="67.44140625" customWidth="1"/>
  </cols>
  <sheetData>
    <row r="1" spans="1:3" ht="12.75" customHeight="1" x14ac:dyDescent="0.25">
      <c r="A1" t="s">
        <v>574</v>
      </c>
      <c r="B1" s="30" t="s">
        <v>575</v>
      </c>
      <c r="C1" s="30" t="s">
        <v>13</v>
      </c>
    </row>
    <row r="2" spans="1:3" ht="12.75" customHeight="1" x14ac:dyDescent="0.25">
      <c r="B2" t="s">
        <v>576</v>
      </c>
      <c r="C2" t="s">
        <v>577</v>
      </c>
    </row>
    <row r="4" spans="1:3" ht="12.75" customHeight="1" x14ac:dyDescent="0.25">
      <c r="C4" t="s">
        <v>578</v>
      </c>
    </row>
    <row r="6" spans="1:3" ht="12.75" customHeight="1" x14ac:dyDescent="0.25">
      <c r="C6" t="s">
        <v>579</v>
      </c>
    </row>
    <row r="7" spans="1:3" ht="12.75" customHeight="1" x14ac:dyDescent="0.25">
      <c r="C7" t="s">
        <v>580</v>
      </c>
    </row>
    <row r="9" spans="1:3" ht="12.75" customHeight="1" x14ac:dyDescent="0.25">
      <c r="C9" t="s">
        <v>581</v>
      </c>
    </row>
    <row r="10" spans="1:3" ht="12.75" customHeight="1" x14ac:dyDescent="0.25">
      <c r="C10" t="s">
        <v>582</v>
      </c>
    </row>
    <row r="12" spans="1:3" ht="12.75" customHeight="1" x14ac:dyDescent="0.25">
      <c r="B12" s="30" t="s">
        <v>583</v>
      </c>
      <c r="C12" s="30" t="s">
        <v>584</v>
      </c>
    </row>
    <row r="13" spans="1:3" ht="12.75" customHeight="1" x14ac:dyDescent="0.25">
      <c r="C13" t="s">
        <v>585</v>
      </c>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B26" sqref="B26:C66"/>
    </sheetView>
  </sheetViews>
  <sheetFormatPr defaultColWidth="17.109375" defaultRowHeight="12.75" customHeight="1" x14ac:dyDescent="0.25"/>
  <cols>
    <col min="1" max="1" width="9.44140625" customWidth="1"/>
    <col min="2" max="2" width="29.44140625" customWidth="1"/>
  </cols>
  <sheetData>
    <row r="1" spans="1:9" ht="12.75" customHeight="1" x14ac:dyDescent="0.25">
      <c r="A1" t="s">
        <v>60</v>
      </c>
      <c r="C1">
        <v>0.82299999999999995</v>
      </c>
      <c r="D1">
        <f>D5*C1</f>
        <v>41.15</v>
      </c>
      <c r="E1">
        <v>3.6</v>
      </c>
    </row>
    <row r="2" spans="1:9" ht="12.75" customHeight="1" x14ac:dyDescent="0.25">
      <c r="A2" t="s">
        <v>61</v>
      </c>
      <c r="B2" t="s">
        <v>62</v>
      </c>
      <c r="C2" t="s">
        <v>63</v>
      </c>
      <c r="D2" t="s">
        <v>64</v>
      </c>
      <c r="E2" t="s">
        <v>10</v>
      </c>
      <c r="F2" t="s">
        <v>16</v>
      </c>
      <c r="G2" t="s">
        <v>65</v>
      </c>
    </row>
    <row r="3" spans="1:9" ht="12.75" customHeight="1" x14ac:dyDescent="0.25">
      <c r="B3" t="s">
        <v>66</v>
      </c>
      <c r="C3" t="s">
        <v>67</v>
      </c>
      <c r="D3">
        <f>(43.9+47.3)/2</f>
        <v>45.599999999999994</v>
      </c>
      <c r="E3" s="16">
        <f>D3/E1</f>
        <v>12.666666666666664</v>
      </c>
      <c r="H3" t="s">
        <v>68</v>
      </c>
      <c r="I3" t="s">
        <v>44</v>
      </c>
    </row>
    <row r="4" spans="1:9" ht="12.75" customHeight="1" x14ac:dyDescent="0.25">
      <c r="C4" t="s">
        <v>7</v>
      </c>
      <c r="D4" t="s">
        <v>23</v>
      </c>
      <c r="I4" t="s">
        <v>69</v>
      </c>
    </row>
    <row r="5" spans="1:9" ht="12.75" customHeight="1" x14ac:dyDescent="0.25">
      <c r="B5" t="s">
        <v>70</v>
      </c>
      <c r="C5" t="s">
        <v>71</v>
      </c>
      <c r="D5">
        <v>50</v>
      </c>
      <c r="E5">
        <f>D1/E1</f>
        <v>11.430555555555555</v>
      </c>
      <c r="H5" t="s">
        <v>72</v>
      </c>
      <c r="I5" t="s">
        <v>73</v>
      </c>
    </row>
    <row r="6" spans="1:9" ht="12.75" customHeight="1" x14ac:dyDescent="0.25">
      <c r="H6" t="s">
        <v>74</v>
      </c>
      <c r="I6" t="s">
        <v>75</v>
      </c>
    </row>
    <row r="7" spans="1:9" ht="12.75" customHeight="1" x14ac:dyDescent="0.25">
      <c r="A7" t="s">
        <v>76</v>
      </c>
      <c r="B7" t="s">
        <v>77</v>
      </c>
      <c r="D7" t="s">
        <v>78</v>
      </c>
      <c r="E7" t="s">
        <v>16</v>
      </c>
      <c r="F7" t="s">
        <v>65</v>
      </c>
      <c r="H7" t="s">
        <v>79</v>
      </c>
      <c r="I7" t="s">
        <v>44</v>
      </c>
    </row>
    <row r="8" spans="1:9" ht="12.75" customHeight="1" x14ac:dyDescent="0.25">
      <c r="B8" t="s">
        <v>80</v>
      </c>
      <c r="H8" t="s">
        <v>81</v>
      </c>
      <c r="I8" t="s">
        <v>82</v>
      </c>
    </row>
    <row r="9" spans="1:9" ht="12.75" customHeight="1" x14ac:dyDescent="0.25">
      <c r="B9" t="s">
        <v>83</v>
      </c>
      <c r="D9">
        <v>380</v>
      </c>
      <c r="H9" t="s">
        <v>84</v>
      </c>
      <c r="I9" t="s">
        <v>44</v>
      </c>
    </row>
    <row r="10" spans="1:9" ht="12.75" customHeight="1" x14ac:dyDescent="0.25">
      <c r="H10" t="s">
        <v>85</v>
      </c>
      <c r="I10" t="s">
        <v>86</v>
      </c>
    </row>
    <row r="11" spans="1:9" ht="12.75" customHeight="1" x14ac:dyDescent="0.25">
      <c r="H11" t="s">
        <v>87</v>
      </c>
      <c r="I11" t="s">
        <v>44</v>
      </c>
    </row>
    <row r="12" spans="1:9" ht="12.75" customHeight="1" x14ac:dyDescent="0.25">
      <c r="C12" s="43" t="s">
        <v>88</v>
      </c>
      <c r="D12" s="43"/>
      <c r="H12" t="s">
        <v>89</v>
      </c>
      <c r="I12" t="s">
        <v>90</v>
      </c>
    </row>
    <row r="13" spans="1:9" ht="12.75" customHeight="1" x14ac:dyDescent="0.25">
      <c r="A13">
        <v>3</v>
      </c>
      <c r="B13" s="56" t="s">
        <v>91</v>
      </c>
      <c r="C13" s="79"/>
      <c r="D13" s="48"/>
      <c r="E13" s="49"/>
      <c r="H13" t="s">
        <v>92</v>
      </c>
      <c r="I13" t="s">
        <v>93</v>
      </c>
    </row>
    <row r="14" spans="1:9" ht="12.75" customHeight="1" x14ac:dyDescent="0.25">
      <c r="B14" s="56" t="s">
        <v>94</v>
      </c>
      <c r="C14" s="49"/>
      <c r="D14" s="56"/>
      <c r="E14" s="49"/>
      <c r="H14" t="s">
        <v>95</v>
      </c>
      <c r="I14" t="s">
        <v>96</v>
      </c>
    </row>
    <row r="15" spans="1:9" ht="12.75" customHeight="1" x14ac:dyDescent="0.25">
      <c r="B15" s="56" t="s">
        <v>97</v>
      </c>
      <c r="C15" s="49"/>
      <c r="D15" s="56"/>
      <c r="E15" s="49"/>
      <c r="H15" t="s">
        <v>98</v>
      </c>
      <c r="I15" t="s">
        <v>44</v>
      </c>
    </row>
    <row r="16" spans="1:9" ht="12.75" customHeight="1" x14ac:dyDescent="0.25">
      <c r="B16" s="56" t="s">
        <v>99</v>
      </c>
      <c r="C16" s="49"/>
      <c r="D16" s="56"/>
      <c r="E16" s="49"/>
      <c r="H16" t="s">
        <v>100</v>
      </c>
      <c r="I16" t="s">
        <v>44</v>
      </c>
    </row>
    <row r="17" spans="2:9" ht="12.75" customHeight="1" x14ac:dyDescent="0.25">
      <c r="B17" s="56" t="s">
        <v>101</v>
      </c>
      <c r="C17" s="49" t="s">
        <v>102</v>
      </c>
      <c r="D17" s="56">
        <v>30</v>
      </c>
      <c r="E17" s="49"/>
      <c r="H17" t="s">
        <v>103</v>
      </c>
      <c r="I17" t="s">
        <v>44</v>
      </c>
    </row>
    <row r="18" spans="2:9" ht="12.75" customHeight="1" x14ac:dyDescent="0.25">
      <c r="B18" s="56" t="s">
        <v>104</v>
      </c>
      <c r="C18" s="49" t="s">
        <v>105</v>
      </c>
      <c r="D18" s="56">
        <v>15</v>
      </c>
      <c r="E18" s="49"/>
      <c r="H18" t="s">
        <v>106</v>
      </c>
      <c r="I18" t="s">
        <v>44</v>
      </c>
    </row>
    <row r="19" spans="2:9" ht="12.75" customHeight="1" x14ac:dyDescent="0.25">
      <c r="B19" s="56" t="s">
        <v>107</v>
      </c>
      <c r="C19" s="49"/>
      <c r="D19" s="56"/>
      <c r="E19" s="49"/>
      <c r="H19" t="s">
        <v>108</v>
      </c>
      <c r="I19" t="s">
        <v>44</v>
      </c>
    </row>
    <row r="20" spans="2:9" ht="12.75" customHeight="1" x14ac:dyDescent="0.25">
      <c r="B20" s="56" t="s">
        <v>109</v>
      </c>
      <c r="C20" s="49"/>
      <c r="D20" s="56"/>
      <c r="E20" s="49"/>
      <c r="H20" t="s">
        <v>110</v>
      </c>
      <c r="I20" t="s">
        <v>44</v>
      </c>
    </row>
    <row r="21" spans="2:9" ht="12.75" customHeight="1" x14ac:dyDescent="0.25">
      <c r="B21" s="56" t="s">
        <v>111</v>
      </c>
      <c r="C21" s="49"/>
      <c r="D21" s="56"/>
      <c r="E21" s="49"/>
      <c r="H21" t="s">
        <v>112</v>
      </c>
      <c r="I21" t="s">
        <v>113</v>
      </c>
    </row>
    <row r="22" spans="2:9" ht="12.75" customHeight="1" x14ac:dyDescent="0.25">
      <c r="B22" s="56" t="s">
        <v>114</v>
      </c>
      <c r="C22" s="49"/>
      <c r="D22" s="56"/>
      <c r="E22" s="49"/>
      <c r="H22" t="s">
        <v>115</v>
      </c>
      <c r="I22" t="s">
        <v>44</v>
      </c>
    </row>
    <row r="23" spans="2:9" ht="12.75" customHeight="1" x14ac:dyDescent="0.25">
      <c r="B23" s="56"/>
      <c r="C23" s="49"/>
      <c r="D23" s="56"/>
      <c r="E23" s="49"/>
      <c r="H23" t="s">
        <v>116</v>
      </c>
      <c r="I23" t="s">
        <v>44</v>
      </c>
    </row>
    <row r="24" spans="2:9" ht="12.75" customHeight="1" x14ac:dyDescent="0.25">
      <c r="B24" s="56"/>
      <c r="C24" s="38"/>
      <c r="D24" s="11"/>
      <c r="E24" s="49"/>
      <c r="H24" t="s">
        <v>117</v>
      </c>
      <c r="I24" t="s">
        <v>44</v>
      </c>
    </row>
    <row r="25" spans="2:9" ht="12.75" customHeight="1" x14ac:dyDescent="0.25">
      <c r="C25" s="27"/>
      <c r="D25" s="27"/>
    </row>
    <row r="26" spans="2:9" ht="12.75" customHeight="1" x14ac:dyDescent="0.25">
      <c r="B26" t="s">
        <v>759</v>
      </c>
    </row>
    <row r="27" spans="2:9" ht="12.75" customHeight="1" x14ac:dyDescent="0.25">
      <c r="B27" t="s">
        <v>360</v>
      </c>
      <c r="C27" t="s">
        <v>760</v>
      </c>
    </row>
    <row r="28" spans="2:9" ht="12.75" customHeight="1" x14ac:dyDescent="0.25">
      <c r="B28">
        <v>2012</v>
      </c>
      <c r="C28" s="288">
        <v>7.2</v>
      </c>
    </row>
    <row r="29" spans="2:9" ht="12.75" customHeight="1" x14ac:dyDescent="0.25">
      <c r="B29">
        <v>2013</v>
      </c>
      <c r="C29" s="288">
        <v>8.1750000000000007</v>
      </c>
    </row>
    <row r="30" spans="2:9" ht="12.75" customHeight="1" x14ac:dyDescent="0.25">
      <c r="B30">
        <v>2014</v>
      </c>
      <c r="C30" s="288">
        <v>9.15</v>
      </c>
    </row>
    <row r="31" spans="2:9" ht="12.75" customHeight="1" x14ac:dyDescent="0.25">
      <c r="B31">
        <v>2015</v>
      </c>
      <c r="C31" s="288">
        <v>10.125</v>
      </c>
    </row>
    <row r="32" spans="2:9" ht="12.75" customHeight="1" x14ac:dyDescent="0.25">
      <c r="B32">
        <v>2016</v>
      </c>
      <c r="C32" s="288">
        <v>11.1</v>
      </c>
    </row>
    <row r="33" spans="2:3" ht="12.75" customHeight="1" x14ac:dyDescent="0.25">
      <c r="B33">
        <v>2017</v>
      </c>
      <c r="C33" s="288">
        <v>12.074999999999999</v>
      </c>
    </row>
    <row r="34" spans="2:3" ht="12.75" customHeight="1" x14ac:dyDescent="0.25">
      <c r="B34">
        <v>2018</v>
      </c>
      <c r="C34" s="288">
        <v>13.05</v>
      </c>
    </row>
    <row r="35" spans="2:3" ht="12.75" customHeight="1" x14ac:dyDescent="0.25">
      <c r="B35">
        <v>2019</v>
      </c>
      <c r="C35" s="288">
        <v>14.025</v>
      </c>
    </row>
    <row r="36" spans="2:3" ht="12.75" customHeight="1" x14ac:dyDescent="0.25">
      <c r="B36">
        <v>2020</v>
      </c>
      <c r="C36" s="288">
        <v>15</v>
      </c>
    </row>
    <row r="37" spans="2:3" ht="12.75" customHeight="1" x14ac:dyDescent="0.25">
      <c r="B37">
        <v>2021</v>
      </c>
      <c r="C37" s="288">
        <v>15.975</v>
      </c>
    </row>
    <row r="38" spans="2:3" ht="12.75" customHeight="1" x14ac:dyDescent="0.25">
      <c r="B38">
        <v>2022</v>
      </c>
      <c r="C38" s="288">
        <v>16.95</v>
      </c>
    </row>
    <row r="39" spans="2:3" ht="12.75" customHeight="1" x14ac:dyDescent="0.25">
      <c r="B39">
        <v>2023</v>
      </c>
      <c r="C39" s="288">
        <v>17.925000000000001</v>
      </c>
    </row>
    <row r="40" spans="2:3" ht="12.75" customHeight="1" x14ac:dyDescent="0.25">
      <c r="B40">
        <v>2024</v>
      </c>
      <c r="C40" s="288">
        <v>18.899999999999999</v>
      </c>
    </row>
    <row r="41" spans="2:3" ht="12.75" customHeight="1" x14ac:dyDescent="0.25">
      <c r="B41">
        <v>2025</v>
      </c>
      <c r="C41" s="288">
        <v>19.875</v>
      </c>
    </row>
    <row r="42" spans="2:3" ht="12.75" customHeight="1" x14ac:dyDescent="0.25">
      <c r="B42">
        <v>2026</v>
      </c>
      <c r="C42" s="288">
        <v>20.85</v>
      </c>
    </row>
    <row r="43" spans="2:3" ht="12.75" customHeight="1" x14ac:dyDescent="0.25">
      <c r="B43">
        <v>2027</v>
      </c>
      <c r="C43" s="288">
        <v>21.824999999999999</v>
      </c>
    </row>
    <row r="44" spans="2:3" ht="12.75" customHeight="1" x14ac:dyDescent="0.25">
      <c r="B44">
        <v>2028</v>
      </c>
      <c r="C44" s="288">
        <v>22.8</v>
      </c>
    </row>
    <row r="45" spans="2:3" ht="12.75" customHeight="1" x14ac:dyDescent="0.25">
      <c r="B45">
        <v>2029</v>
      </c>
      <c r="C45" s="288">
        <v>23.774999999999999</v>
      </c>
    </row>
    <row r="46" spans="2:3" ht="12.75" customHeight="1" x14ac:dyDescent="0.25">
      <c r="B46">
        <v>2030</v>
      </c>
      <c r="C46" s="288">
        <v>24.75</v>
      </c>
    </row>
    <row r="47" spans="2:3" ht="12.75" customHeight="1" x14ac:dyDescent="0.25">
      <c r="B47">
        <v>2031</v>
      </c>
      <c r="C47" s="288">
        <v>25.8</v>
      </c>
    </row>
    <row r="48" spans="2:3" ht="12.75" customHeight="1" x14ac:dyDescent="0.25">
      <c r="B48">
        <v>2032</v>
      </c>
      <c r="C48" s="288">
        <v>26.85</v>
      </c>
    </row>
    <row r="49" spans="2:3" ht="12.75" customHeight="1" x14ac:dyDescent="0.25">
      <c r="B49">
        <v>2033</v>
      </c>
      <c r="C49" s="288">
        <v>27.9</v>
      </c>
    </row>
    <row r="50" spans="2:3" ht="12.75" customHeight="1" x14ac:dyDescent="0.25">
      <c r="B50">
        <v>2034</v>
      </c>
      <c r="C50" s="288">
        <v>28.95</v>
      </c>
    </row>
    <row r="51" spans="2:3" ht="12.75" customHeight="1" x14ac:dyDescent="0.25">
      <c r="B51">
        <v>2035</v>
      </c>
      <c r="C51">
        <v>30</v>
      </c>
    </row>
    <row r="52" spans="2:3" ht="12.75" customHeight="1" x14ac:dyDescent="0.25">
      <c r="B52">
        <v>2036</v>
      </c>
      <c r="C52">
        <v>31</v>
      </c>
    </row>
    <row r="53" spans="2:3" ht="12.75" customHeight="1" x14ac:dyDescent="0.25">
      <c r="B53">
        <v>2037</v>
      </c>
      <c r="C53">
        <v>32</v>
      </c>
    </row>
    <row r="54" spans="2:3" ht="12.75" customHeight="1" x14ac:dyDescent="0.25">
      <c r="B54">
        <v>2038</v>
      </c>
      <c r="C54">
        <v>33</v>
      </c>
    </row>
    <row r="55" spans="2:3" ht="12.75" customHeight="1" x14ac:dyDescent="0.25">
      <c r="B55">
        <v>2039</v>
      </c>
      <c r="C55">
        <v>34</v>
      </c>
    </row>
    <row r="56" spans="2:3" ht="12.75" customHeight="1" x14ac:dyDescent="0.25">
      <c r="B56">
        <v>2040</v>
      </c>
      <c r="C56">
        <v>35</v>
      </c>
    </row>
    <row r="57" spans="2:3" ht="12.75" customHeight="1" x14ac:dyDescent="0.25">
      <c r="B57">
        <v>2041</v>
      </c>
      <c r="C57">
        <v>36</v>
      </c>
    </row>
    <row r="58" spans="2:3" ht="12.75" customHeight="1" x14ac:dyDescent="0.25">
      <c r="B58">
        <v>2042</v>
      </c>
      <c r="C58">
        <v>37</v>
      </c>
    </row>
    <row r="59" spans="2:3" ht="12.75" customHeight="1" x14ac:dyDescent="0.25">
      <c r="B59">
        <v>2043</v>
      </c>
      <c r="C59">
        <v>38</v>
      </c>
    </row>
    <row r="60" spans="2:3" ht="12.75" customHeight="1" x14ac:dyDescent="0.25">
      <c r="B60">
        <v>2044</v>
      </c>
      <c r="C60">
        <v>39</v>
      </c>
    </row>
    <row r="61" spans="2:3" ht="12.75" customHeight="1" x14ac:dyDescent="0.25">
      <c r="B61">
        <v>2045</v>
      </c>
      <c r="C61">
        <v>40</v>
      </c>
    </row>
    <row r="62" spans="2:3" ht="12.75" customHeight="1" x14ac:dyDescent="0.25">
      <c r="B62">
        <v>2046</v>
      </c>
      <c r="C62">
        <v>41</v>
      </c>
    </row>
    <row r="63" spans="2:3" ht="12.75" customHeight="1" x14ac:dyDescent="0.25">
      <c r="B63">
        <v>2047</v>
      </c>
      <c r="C63">
        <v>42</v>
      </c>
    </row>
    <row r="64" spans="2:3" ht="12.75" customHeight="1" x14ac:dyDescent="0.25">
      <c r="B64">
        <v>2048</v>
      </c>
      <c r="C64">
        <v>43</v>
      </c>
    </row>
    <row r="65" spans="2:3" ht="12.75" customHeight="1" x14ac:dyDescent="0.25">
      <c r="B65">
        <v>2049</v>
      </c>
      <c r="C65">
        <v>44</v>
      </c>
    </row>
    <row r="66" spans="2:3" ht="12.75" customHeight="1" x14ac:dyDescent="0.25">
      <c r="B66">
        <v>2050</v>
      </c>
      <c r="C66">
        <v>45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5"/>
  <sheetViews>
    <sheetView topLeftCell="A61" zoomScale="85" zoomScaleNormal="85" zoomScalePageLayoutView="85" workbookViewId="0">
      <selection activeCell="J88" sqref="J88"/>
    </sheetView>
  </sheetViews>
  <sheetFormatPr defaultColWidth="17.109375" defaultRowHeight="12.75" customHeight="1" x14ac:dyDescent="0.25"/>
  <cols>
    <col min="1" max="1" width="8" customWidth="1"/>
    <col min="2" max="2" width="27.33203125" customWidth="1"/>
    <col min="3" max="3" width="10.77734375" customWidth="1"/>
    <col min="4" max="4" width="12.33203125" customWidth="1"/>
    <col min="5" max="5" width="12.109375" customWidth="1"/>
    <col min="6" max="6" width="13.33203125" customWidth="1"/>
    <col min="7" max="7" width="10" customWidth="1"/>
    <col min="8" max="8" width="10.44140625" customWidth="1"/>
    <col min="9" max="9" width="10" customWidth="1"/>
    <col min="10" max="10" width="10.33203125" customWidth="1"/>
    <col min="11" max="11" width="10.77734375" customWidth="1"/>
    <col min="12" max="12" width="9.77734375" customWidth="1"/>
    <col min="13" max="13" width="18.77734375" customWidth="1"/>
    <col min="14" max="14" width="8.6640625" customWidth="1"/>
  </cols>
  <sheetData>
    <row r="1" spans="1:17" ht="15.6" x14ac:dyDescent="0.3">
      <c r="A1" s="972" t="s">
        <v>118</v>
      </c>
      <c r="B1" s="973"/>
      <c r="C1" s="973"/>
    </row>
    <row r="2" spans="1:17" ht="13.2" hidden="1" x14ac:dyDescent="0.25">
      <c r="B2" t="s">
        <v>119</v>
      </c>
      <c r="C2">
        <v>2010</v>
      </c>
      <c r="D2">
        <v>2020</v>
      </c>
      <c r="E2">
        <v>2030</v>
      </c>
      <c r="F2">
        <v>2040</v>
      </c>
      <c r="G2">
        <v>2050</v>
      </c>
    </row>
    <row r="3" spans="1:17" ht="26.4" hidden="1" x14ac:dyDescent="0.25">
      <c r="B3" t="s">
        <v>120</v>
      </c>
      <c r="C3">
        <v>0</v>
      </c>
      <c r="D3">
        <v>87</v>
      </c>
      <c r="E3">
        <v>70</v>
      </c>
      <c r="F3">
        <v>80</v>
      </c>
      <c r="G3">
        <v>145</v>
      </c>
    </row>
    <row r="4" spans="1:17" ht="13.2" hidden="1" x14ac:dyDescent="0.25">
      <c r="B4" t="s">
        <v>121</v>
      </c>
      <c r="C4">
        <v>0</v>
      </c>
      <c r="D4">
        <v>891</v>
      </c>
      <c r="E4">
        <v>1500</v>
      </c>
      <c r="F4">
        <v>2000</v>
      </c>
      <c r="G4">
        <v>2227</v>
      </c>
    </row>
    <row r="5" spans="1:17" ht="13.2" hidden="1" x14ac:dyDescent="0.25">
      <c r="B5" t="s">
        <v>122</v>
      </c>
      <c r="C5">
        <v>0</v>
      </c>
      <c r="D5">
        <v>338</v>
      </c>
      <c r="E5">
        <v>400</v>
      </c>
      <c r="F5">
        <v>500</v>
      </c>
      <c r="G5">
        <v>677</v>
      </c>
    </row>
    <row r="6" spans="1:17" ht="13.2" hidden="1" x14ac:dyDescent="0.25">
      <c r="B6" t="s">
        <v>123</v>
      </c>
      <c r="C6">
        <v>15</v>
      </c>
      <c r="D6">
        <v>150</v>
      </c>
      <c r="E6">
        <v>441</v>
      </c>
      <c r="F6">
        <v>441</v>
      </c>
      <c r="G6">
        <v>441</v>
      </c>
    </row>
    <row r="7" spans="1:17" ht="13.2" hidden="1" x14ac:dyDescent="0.25">
      <c r="B7" t="s">
        <v>124</v>
      </c>
      <c r="C7">
        <v>0</v>
      </c>
      <c r="D7">
        <v>40</v>
      </c>
      <c r="E7">
        <v>109</v>
      </c>
      <c r="F7">
        <v>109</v>
      </c>
      <c r="G7">
        <v>109</v>
      </c>
    </row>
    <row r="8" spans="1:17" ht="13.2" hidden="1" x14ac:dyDescent="0.25">
      <c r="B8" t="s">
        <v>125</v>
      </c>
      <c r="C8">
        <v>0</v>
      </c>
      <c r="D8">
        <v>33</v>
      </c>
      <c r="E8">
        <v>79</v>
      </c>
      <c r="F8">
        <v>79</v>
      </c>
      <c r="G8">
        <v>79</v>
      </c>
    </row>
    <row r="9" spans="1:17" ht="13.2" hidden="1" x14ac:dyDescent="0.25">
      <c r="B9" t="s">
        <v>126</v>
      </c>
      <c r="C9">
        <v>17</v>
      </c>
      <c r="D9">
        <v>11</v>
      </c>
      <c r="E9">
        <v>30</v>
      </c>
      <c r="F9">
        <v>30</v>
      </c>
      <c r="G9">
        <v>30</v>
      </c>
    </row>
    <row r="10" spans="1:17" ht="13.2" hidden="1" x14ac:dyDescent="0.25">
      <c r="B10" t="s">
        <v>127</v>
      </c>
      <c r="C10">
        <v>32</v>
      </c>
      <c r="D10">
        <v>1550</v>
      </c>
      <c r="E10">
        <v>2630</v>
      </c>
      <c r="F10">
        <v>3240</v>
      </c>
      <c r="G10">
        <v>3708</v>
      </c>
    </row>
    <row r="11" spans="1:17" ht="13.2" hidden="1" x14ac:dyDescent="0.25">
      <c r="B11" t="s">
        <v>128</v>
      </c>
      <c r="C11">
        <v>0.12</v>
      </c>
      <c r="D11">
        <v>5.58</v>
      </c>
      <c r="E11">
        <v>9.4700000000000006</v>
      </c>
      <c r="F11">
        <v>11.66</v>
      </c>
      <c r="G11">
        <v>13.35</v>
      </c>
      <c r="M11" t="s">
        <v>7</v>
      </c>
    </row>
    <row r="12" spans="1:17" ht="13.2" hidden="1" x14ac:dyDescent="0.25">
      <c r="B12" t="s">
        <v>78</v>
      </c>
      <c r="C12">
        <f>C10/10</f>
        <v>3.2</v>
      </c>
      <c r="D12">
        <f>D10/10</f>
        <v>155</v>
      </c>
      <c r="E12">
        <f>E10/10</f>
        <v>263</v>
      </c>
      <c r="F12">
        <f>F10/10</f>
        <v>324</v>
      </c>
      <c r="G12">
        <f>G10/10</f>
        <v>370.8</v>
      </c>
      <c r="M12" t="s">
        <v>129</v>
      </c>
      <c r="N12" t="s">
        <v>129</v>
      </c>
    </row>
    <row r="13" spans="1:17" ht="92.4" hidden="1" x14ac:dyDescent="0.25">
      <c r="A13" t="s">
        <v>130</v>
      </c>
      <c r="B13" s="40" t="s">
        <v>131</v>
      </c>
      <c r="C13" t="s">
        <v>78</v>
      </c>
      <c r="D13" s="40">
        <v>0</v>
      </c>
      <c r="E13" s="40">
        <v>30</v>
      </c>
      <c r="F13" s="40">
        <v>155</v>
      </c>
      <c r="G13" s="40">
        <v>200</v>
      </c>
      <c r="H13" s="40">
        <v>263</v>
      </c>
      <c r="I13" s="40">
        <v>300</v>
      </c>
      <c r="J13" s="40">
        <v>324</v>
      </c>
      <c r="K13" s="40">
        <v>350</v>
      </c>
      <c r="L13" s="40">
        <f>G12</f>
        <v>370.8</v>
      </c>
      <c r="M13" t="s">
        <v>7</v>
      </c>
    </row>
    <row r="14" spans="1:17" ht="184.8" hidden="1" x14ac:dyDescent="0.25">
      <c r="A14" t="s">
        <v>132</v>
      </c>
      <c r="B14" s="32" t="s">
        <v>133</v>
      </c>
      <c r="C14" s="36" t="s">
        <v>78</v>
      </c>
      <c r="D14" s="32">
        <v>0</v>
      </c>
      <c r="E14" s="32">
        <f t="shared" ref="E14:L14" si="0">E13-D13</f>
        <v>30</v>
      </c>
      <c r="F14" s="32">
        <f t="shared" si="0"/>
        <v>125</v>
      </c>
      <c r="G14" s="32">
        <f t="shared" si="0"/>
        <v>45</v>
      </c>
      <c r="H14" s="32">
        <f t="shared" si="0"/>
        <v>63</v>
      </c>
      <c r="I14" s="32">
        <f t="shared" si="0"/>
        <v>37</v>
      </c>
      <c r="J14" s="32">
        <f t="shared" si="0"/>
        <v>24</v>
      </c>
      <c r="K14" s="32">
        <f t="shared" si="0"/>
        <v>26</v>
      </c>
      <c r="L14" s="32">
        <f t="shared" si="0"/>
        <v>20.800000000000011</v>
      </c>
      <c r="M14">
        <f>SUM(D14:L14)</f>
        <v>370.8</v>
      </c>
      <c r="N14">
        <f>M15*N15</f>
        <v>0</v>
      </c>
      <c r="O14" t="s">
        <v>7</v>
      </c>
    </row>
    <row r="15" spans="1:17" ht="13.2" x14ac:dyDescent="0.25">
      <c r="B15" s="25"/>
      <c r="C15" s="25"/>
      <c r="D15" s="25"/>
      <c r="E15" s="25"/>
      <c r="F15" s="25"/>
      <c r="G15" s="25"/>
      <c r="H15" s="25"/>
      <c r="I15" s="25"/>
      <c r="J15" s="25"/>
      <c r="K15" s="25"/>
      <c r="L15" s="25"/>
    </row>
    <row r="16" spans="1:17" ht="66" hidden="1" x14ac:dyDescent="0.25">
      <c r="C16" t="s">
        <v>7</v>
      </c>
      <c r="D16" t="s">
        <v>134</v>
      </c>
      <c r="E16" t="s">
        <v>135</v>
      </c>
      <c r="F16" t="s">
        <v>136</v>
      </c>
      <c r="G16" t="s">
        <v>137</v>
      </c>
      <c r="O16" s="84" t="s">
        <v>138</v>
      </c>
      <c r="P16" t="s">
        <v>139</v>
      </c>
      <c r="Q16" t="s">
        <v>140</v>
      </c>
    </row>
    <row r="17" spans="1:24" ht="13.2" x14ac:dyDescent="0.25">
      <c r="D17">
        <v>3.6</v>
      </c>
      <c r="E17">
        <v>2.3883999999999999E-2</v>
      </c>
      <c r="F17">
        <v>10</v>
      </c>
      <c r="O17">
        <f>Lähteeeldused!M11</f>
        <v>8.5980000000000001E-2</v>
      </c>
      <c r="P17" t="s">
        <v>141</v>
      </c>
    </row>
    <row r="18" spans="1:24" ht="13.2" x14ac:dyDescent="0.25">
      <c r="B18" t="s">
        <v>142</v>
      </c>
      <c r="C18" t="s">
        <v>143</v>
      </c>
      <c r="D18" s="63">
        <v>2010</v>
      </c>
      <c r="E18" s="63">
        <v>2015</v>
      </c>
      <c r="F18" s="63">
        <v>2020</v>
      </c>
      <c r="G18" s="63">
        <v>2025</v>
      </c>
      <c r="H18" s="63">
        <v>2030</v>
      </c>
      <c r="I18" s="63">
        <v>2035</v>
      </c>
      <c r="J18" s="63">
        <v>2040</v>
      </c>
      <c r="K18" s="63">
        <v>2045</v>
      </c>
      <c r="L18" s="63">
        <v>2050</v>
      </c>
      <c r="O18">
        <v>10</v>
      </c>
      <c r="P18" t="s">
        <v>144</v>
      </c>
      <c r="Q18" t="s">
        <v>145</v>
      </c>
    </row>
    <row r="19" spans="1:24" ht="13.2" x14ac:dyDescent="0.25">
      <c r="B19" s="74" t="s">
        <v>146</v>
      </c>
      <c r="C19" s="74" t="s">
        <v>147</v>
      </c>
      <c r="D19" s="72">
        <f t="shared" ref="D19:L19" si="1">D13*$F$17</f>
        <v>0</v>
      </c>
      <c r="E19" s="72">
        <f t="shared" si="1"/>
        <v>300</v>
      </c>
      <c r="F19" s="72">
        <f t="shared" si="1"/>
        <v>1550</v>
      </c>
      <c r="G19" s="72">
        <f t="shared" si="1"/>
        <v>2000</v>
      </c>
      <c r="H19" s="72">
        <f t="shared" si="1"/>
        <v>2630</v>
      </c>
      <c r="I19" s="72">
        <f t="shared" si="1"/>
        <v>3000</v>
      </c>
      <c r="J19" s="72">
        <f t="shared" si="1"/>
        <v>3240</v>
      </c>
      <c r="K19" s="72">
        <f t="shared" si="1"/>
        <v>3500</v>
      </c>
      <c r="L19" s="72">
        <f t="shared" si="1"/>
        <v>3708</v>
      </c>
      <c r="M19" s="72" t="s">
        <v>7</v>
      </c>
      <c r="P19">
        <v>0</v>
      </c>
      <c r="Q19">
        <v>300</v>
      </c>
      <c r="R19">
        <v>1550</v>
      </c>
      <c r="S19">
        <v>2000</v>
      </c>
      <c r="T19">
        <v>2630</v>
      </c>
      <c r="U19">
        <v>3000</v>
      </c>
      <c r="V19">
        <v>3240</v>
      </c>
      <c r="W19">
        <v>3500</v>
      </c>
      <c r="X19">
        <v>3708</v>
      </c>
    </row>
    <row r="20" spans="1:24" ht="13.2" x14ac:dyDescent="0.25">
      <c r="B20" t="s">
        <v>146</v>
      </c>
      <c r="C20" s="73" t="s">
        <v>65</v>
      </c>
      <c r="D20" s="4">
        <f>D19*$D$17</f>
        <v>0</v>
      </c>
      <c r="E20" s="4">
        <f>E19*D17</f>
        <v>1080</v>
      </c>
      <c r="F20" s="4">
        <f t="shared" ref="F20:L20" si="2">F19*$D$17</f>
        <v>5580</v>
      </c>
      <c r="G20" s="4">
        <f t="shared" si="2"/>
        <v>7200</v>
      </c>
      <c r="H20" s="4">
        <f t="shared" si="2"/>
        <v>9468</v>
      </c>
      <c r="I20" s="4">
        <f t="shared" si="2"/>
        <v>10800</v>
      </c>
      <c r="J20" s="4">
        <f t="shared" si="2"/>
        <v>11664</v>
      </c>
      <c r="K20" s="4">
        <f t="shared" si="2"/>
        <v>12600</v>
      </c>
      <c r="L20" s="4">
        <f t="shared" si="2"/>
        <v>13348.800000000001</v>
      </c>
      <c r="P20">
        <v>0</v>
      </c>
      <c r="Q20">
        <v>300</v>
      </c>
      <c r="R20">
        <v>1550</v>
      </c>
      <c r="S20">
        <v>2000</v>
      </c>
      <c r="T20">
        <v>2630</v>
      </c>
      <c r="U20">
        <v>3000</v>
      </c>
      <c r="V20">
        <v>3240</v>
      </c>
      <c r="W20">
        <v>3500</v>
      </c>
      <c r="X20">
        <v>3708</v>
      </c>
    </row>
    <row r="21" spans="1:24" ht="13.2" x14ac:dyDescent="0.25">
      <c r="B21" s="36" t="s">
        <v>148</v>
      </c>
      <c r="C21" s="32" t="s">
        <v>65</v>
      </c>
      <c r="D21" s="36">
        <f t="shared" ref="D21:L21" si="3">(D14*10)*$D$17</f>
        <v>0</v>
      </c>
      <c r="E21" s="86">
        <f t="shared" si="3"/>
        <v>1080</v>
      </c>
      <c r="F21" s="86">
        <f t="shared" si="3"/>
        <v>4500</v>
      </c>
      <c r="G21" s="86">
        <f t="shared" si="3"/>
        <v>1620</v>
      </c>
      <c r="H21" s="86">
        <f t="shared" si="3"/>
        <v>2268</v>
      </c>
      <c r="I21" s="86">
        <f t="shared" si="3"/>
        <v>1332</v>
      </c>
      <c r="J21" s="86">
        <f t="shared" si="3"/>
        <v>864</v>
      </c>
      <c r="K21" s="86">
        <f t="shared" si="3"/>
        <v>936</v>
      </c>
      <c r="L21" s="86">
        <f t="shared" si="3"/>
        <v>748.80000000000041</v>
      </c>
      <c r="M21">
        <f>SUM(D21:L21)</f>
        <v>13348.800000000001</v>
      </c>
      <c r="N21">
        <f>M22*N15</f>
        <v>0</v>
      </c>
    </row>
    <row r="22" spans="1:24" ht="13.2" x14ac:dyDescent="0.25">
      <c r="B22" s="25"/>
      <c r="C22" s="13"/>
      <c r="D22" s="25"/>
      <c r="E22" s="69"/>
      <c r="F22" s="69"/>
      <c r="G22" s="69"/>
      <c r="H22" s="69"/>
      <c r="I22" s="69"/>
      <c r="J22" s="69"/>
      <c r="K22" s="69"/>
      <c r="L22" s="69"/>
    </row>
    <row r="23" spans="1:24" ht="13.2" x14ac:dyDescent="0.25">
      <c r="B23" s="74" t="s">
        <v>146</v>
      </c>
      <c r="C23" s="74" t="s">
        <v>16</v>
      </c>
      <c r="D23" s="37">
        <f t="shared" ref="D23:L23" si="4">D20*$E$17</f>
        <v>0</v>
      </c>
      <c r="E23" s="9">
        <f t="shared" si="4"/>
        <v>25.794719999999998</v>
      </c>
      <c r="F23" s="9">
        <f t="shared" si="4"/>
        <v>133.27271999999999</v>
      </c>
      <c r="G23" s="9">
        <f t="shared" si="4"/>
        <v>171.9648</v>
      </c>
      <c r="H23" s="9">
        <f t="shared" si="4"/>
        <v>226.133712</v>
      </c>
      <c r="I23" s="9">
        <f t="shared" si="4"/>
        <v>257.94720000000001</v>
      </c>
      <c r="J23" s="9">
        <f t="shared" si="4"/>
        <v>278.58297599999997</v>
      </c>
      <c r="K23" s="9">
        <f t="shared" si="4"/>
        <v>300.9384</v>
      </c>
      <c r="L23" s="9">
        <f t="shared" si="4"/>
        <v>318.8227392</v>
      </c>
      <c r="N23" s="16" t="s">
        <v>7</v>
      </c>
    </row>
    <row r="24" spans="1:24" ht="13.2" x14ac:dyDescent="0.25">
      <c r="D24" s="18"/>
      <c r="E24" s="18"/>
      <c r="F24" s="18">
        <v>92</v>
      </c>
      <c r="G24" s="18"/>
      <c r="H24" s="18"/>
      <c r="I24" s="18"/>
      <c r="J24" s="18"/>
      <c r="K24" s="18"/>
      <c r="L24" s="18"/>
    </row>
    <row r="25" spans="1:24" ht="13.2" x14ac:dyDescent="0.25">
      <c r="B25" s="77" t="s">
        <v>149</v>
      </c>
      <c r="C25" s="77"/>
      <c r="D25" s="58"/>
      <c r="E25" s="58"/>
      <c r="F25" s="58"/>
      <c r="G25" s="58"/>
      <c r="H25" s="58"/>
      <c r="I25" s="58"/>
      <c r="J25" s="58"/>
      <c r="K25" s="58"/>
      <c r="L25" s="58"/>
    </row>
    <row r="26" spans="1:24" ht="13.2" x14ac:dyDescent="0.25">
      <c r="B26" s="77" t="s">
        <v>150</v>
      </c>
      <c r="C26" s="20" t="s">
        <v>65</v>
      </c>
      <c r="D26" s="68">
        <v>0</v>
      </c>
      <c r="E26" s="68">
        <v>970</v>
      </c>
      <c r="F26" s="68">
        <v>1940</v>
      </c>
      <c r="G26" s="68">
        <v>3894</v>
      </c>
      <c r="H26" s="68">
        <v>5848</v>
      </c>
      <c r="I26" s="68">
        <v>5650</v>
      </c>
      <c r="J26" s="68">
        <v>5451</v>
      </c>
      <c r="K26" s="68">
        <v>5352</v>
      </c>
      <c r="L26" s="68">
        <v>5055</v>
      </c>
    </row>
    <row r="27" spans="1:24" ht="13.2" x14ac:dyDescent="0.25">
      <c r="A27" s="25"/>
      <c r="B27" s="25"/>
      <c r="C27" s="25" t="s">
        <v>16</v>
      </c>
      <c r="D27" s="70">
        <v>0</v>
      </c>
      <c r="E27" s="70">
        <v>23.2</v>
      </c>
      <c r="F27" s="70">
        <v>46.3</v>
      </c>
      <c r="G27" s="70">
        <v>93</v>
      </c>
      <c r="H27" s="70">
        <v>139.69999999999999</v>
      </c>
      <c r="I27" s="70">
        <v>134.9</v>
      </c>
      <c r="J27" s="70">
        <v>130.19999999999999</v>
      </c>
      <c r="K27" s="70">
        <v>127.8</v>
      </c>
      <c r="L27" s="70">
        <v>120.7</v>
      </c>
      <c r="M27" s="25"/>
      <c r="N27" s="25"/>
      <c r="O27" s="25"/>
      <c r="P27" s="25"/>
      <c r="Q27" s="25"/>
      <c r="R27" s="25"/>
      <c r="S27" s="25"/>
      <c r="T27" s="25"/>
    </row>
    <row r="28" spans="1:24" ht="13.2" x14ac:dyDescent="0.25">
      <c r="D28" s="18"/>
      <c r="E28" s="18"/>
      <c r="F28" s="18" t="s">
        <v>7</v>
      </c>
      <c r="G28" s="18"/>
      <c r="H28" s="18"/>
      <c r="I28" s="18"/>
      <c r="J28" s="18"/>
      <c r="K28" s="18"/>
      <c r="L28" s="18"/>
    </row>
    <row r="29" spans="1:24" ht="39.6" x14ac:dyDescent="0.25">
      <c r="B29" s="80" t="s">
        <v>151</v>
      </c>
      <c r="C29" s="80" t="s">
        <v>65</v>
      </c>
      <c r="D29" s="14">
        <v>29886</v>
      </c>
      <c r="E29" s="14">
        <v>30550</v>
      </c>
      <c r="F29" s="14">
        <v>31214</v>
      </c>
      <c r="G29" s="14">
        <v>29871</v>
      </c>
      <c r="H29" s="14">
        <v>28528</v>
      </c>
      <c r="I29" s="14">
        <v>25275</v>
      </c>
      <c r="J29" s="14">
        <v>22021</v>
      </c>
      <c r="K29" s="14">
        <v>20395</v>
      </c>
      <c r="L29" s="14">
        <v>15515</v>
      </c>
      <c r="N29" t="s">
        <v>152</v>
      </c>
    </row>
    <row r="30" spans="1:24" ht="13.2" x14ac:dyDescent="0.25">
      <c r="C30" t="s">
        <v>16</v>
      </c>
      <c r="D30">
        <v>714</v>
      </c>
      <c r="E30">
        <v>730</v>
      </c>
      <c r="F30">
        <v>746</v>
      </c>
      <c r="G30">
        <v>713</v>
      </c>
      <c r="H30">
        <v>681</v>
      </c>
      <c r="I30">
        <v>604</v>
      </c>
      <c r="J30">
        <v>526</v>
      </c>
      <c r="K30">
        <v>487</v>
      </c>
      <c r="L30">
        <v>371</v>
      </c>
      <c r="N30">
        <v>37710</v>
      </c>
    </row>
    <row r="31" spans="1:24" ht="26.4" x14ac:dyDescent="0.25">
      <c r="B31" s="80" t="s">
        <v>153</v>
      </c>
      <c r="C31" s="80" t="s">
        <v>154</v>
      </c>
      <c r="D31" s="28">
        <f t="shared" ref="D31:L31" si="5">D26/D29</f>
        <v>0</v>
      </c>
      <c r="E31" s="28">
        <f t="shared" si="5"/>
        <v>3.1751227495908349E-2</v>
      </c>
      <c r="F31" s="28">
        <f t="shared" si="5"/>
        <v>6.2151598641635164E-2</v>
      </c>
      <c r="G31" s="28">
        <f t="shared" si="5"/>
        <v>0.13036055036657629</v>
      </c>
      <c r="H31" s="28">
        <f t="shared" si="5"/>
        <v>0.20499158721256311</v>
      </c>
      <c r="I31" s="28">
        <f t="shared" si="5"/>
        <v>0.22354104846686448</v>
      </c>
      <c r="J31" s="28">
        <f t="shared" si="5"/>
        <v>0.24753644248671722</v>
      </c>
      <c r="K31" s="28">
        <f t="shared" si="5"/>
        <v>0.26241725913214026</v>
      </c>
      <c r="L31" s="28">
        <f t="shared" si="5"/>
        <v>0.32581372864969382</v>
      </c>
    </row>
    <row r="32" spans="1:24" ht="13.2" x14ac:dyDescent="0.25">
      <c r="D32" s="18"/>
      <c r="E32" s="18"/>
      <c r="F32" s="18"/>
      <c r="G32" s="18"/>
      <c r="H32" s="18"/>
      <c r="I32" s="18"/>
      <c r="J32" s="18"/>
      <c r="K32" s="18"/>
      <c r="L32" s="18"/>
    </row>
    <row r="33" spans="1:20" ht="13.2" x14ac:dyDescent="0.25">
      <c r="B33" s="50" t="s">
        <v>155</v>
      </c>
      <c r="C33" s="50" t="s">
        <v>65</v>
      </c>
      <c r="D33" s="3">
        <f t="shared" ref="D33:L33" si="6">D20-D26</f>
        <v>0</v>
      </c>
      <c r="E33" s="3">
        <f t="shared" si="6"/>
        <v>110</v>
      </c>
      <c r="F33" s="3">
        <f t="shared" si="6"/>
        <v>3640</v>
      </c>
      <c r="G33" s="3">
        <f t="shared" si="6"/>
        <v>3306</v>
      </c>
      <c r="H33" s="3">
        <f t="shared" si="6"/>
        <v>3620</v>
      </c>
      <c r="I33" s="3">
        <f t="shared" si="6"/>
        <v>5150</v>
      </c>
      <c r="J33" s="3">
        <f t="shared" si="6"/>
        <v>6213</v>
      </c>
      <c r="K33" s="3">
        <f t="shared" si="6"/>
        <v>7248</v>
      </c>
      <c r="L33" s="3">
        <f t="shared" si="6"/>
        <v>8293.8000000000011</v>
      </c>
    </row>
    <row r="34" spans="1:20" ht="13.2" x14ac:dyDescent="0.25">
      <c r="C34" t="s">
        <v>16</v>
      </c>
      <c r="D34" s="18">
        <f t="shared" ref="D34:L34" si="7">D33*$E$17</f>
        <v>0</v>
      </c>
      <c r="E34" s="18">
        <f t="shared" si="7"/>
        <v>2.62724</v>
      </c>
      <c r="F34" s="18">
        <f t="shared" si="7"/>
        <v>86.937759999999997</v>
      </c>
      <c r="G34" s="18">
        <f t="shared" si="7"/>
        <v>78.960504</v>
      </c>
      <c r="H34" s="18">
        <f t="shared" si="7"/>
        <v>86.460079999999991</v>
      </c>
      <c r="I34" s="18">
        <f t="shared" si="7"/>
        <v>123.0026</v>
      </c>
      <c r="J34" s="18">
        <f t="shared" si="7"/>
        <v>148.39129199999999</v>
      </c>
      <c r="K34" s="18">
        <f t="shared" si="7"/>
        <v>173.111232</v>
      </c>
      <c r="L34" s="18">
        <f t="shared" si="7"/>
        <v>198.08911920000003</v>
      </c>
    </row>
    <row r="35" spans="1:20" ht="26.4" x14ac:dyDescent="0.25">
      <c r="B35" t="s">
        <v>156</v>
      </c>
      <c r="C35" t="s">
        <v>154</v>
      </c>
      <c r="D35" s="67">
        <v>0</v>
      </c>
      <c r="E35" s="67">
        <f t="shared" ref="E35:L35" si="8">E33/E20</f>
        <v>0.10185185185185185</v>
      </c>
      <c r="F35" s="67">
        <f t="shared" si="8"/>
        <v>0.6523297491039427</v>
      </c>
      <c r="G35" s="67">
        <f t="shared" si="8"/>
        <v>0.45916666666666667</v>
      </c>
      <c r="H35" s="67">
        <f t="shared" si="8"/>
        <v>0.38234051542036335</v>
      </c>
      <c r="I35" s="67">
        <f t="shared" si="8"/>
        <v>0.47685185185185186</v>
      </c>
      <c r="J35" s="67">
        <f t="shared" si="8"/>
        <v>0.53266460905349799</v>
      </c>
      <c r="K35" s="67">
        <f t="shared" si="8"/>
        <v>0.57523809523809522</v>
      </c>
      <c r="L35" s="67">
        <f t="shared" si="8"/>
        <v>0.62131427544048912</v>
      </c>
    </row>
    <row r="36" spans="1:20" ht="13.2" x14ac:dyDescent="0.25">
      <c r="A36">
        <v>17.78</v>
      </c>
      <c r="D36" s="78">
        <f>(D37/3.6)/10</f>
        <v>0.62388888888888894</v>
      </c>
      <c r="E36" s="18"/>
      <c r="F36" s="18"/>
      <c r="G36" s="18"/>
      <c r="H36" s="18"/>
      <c r="I36" s="18"/>
      <c r="J36" s="18"/>
      <c r="K36" s="18"/>
      <c r="L36" s="18"/>
    </row>
    <row r="37" spans="1:20" ht="13.2" x14ac:dyDescent="0.25">
      <c r="A37">
        <f>(A36/F17)/D17</f>
        <v>0.49388888888888888</v>
      </c>
      <c r="B37" s="2" t="s">
        <v>157</v>
      </c>
      <c r="C37" s="2" t="s">
        <v>158</v>
      </c>
      <c r="D37" s="47">
        <f>17.78+((A64*10)*3.6)</f>
        <v>22.46</v>
      </c>
      <c r="E37" s="19">
        <f t="shared" ref="E37:L37" si="9">D37*1.01</f>
        <v>22.6846</v>
      </c>
      <c r="F37" s="19">
        <f t="shared" si="9"/>
        <v>22.911446000000002</v>
      </c>
      <c r="G37" s="19">
        <f t="shared" si="9"/>
        <v>23.140560460000003</v>
      </c>
      <c r="H37" s="19">
        <f t="shared" si="9"/>
        <v>23.371966064600002</v>
      </c>
      <c r="I37" s="19">
        <f t="shared" si="9"/>
        <v>23.605685725246001</v>
      </c>
      <c r="J37" s="19">
        <f t="shared" si="9"/>
        <v>23.841742582498462</v>
      </c>
      <c r="K37" s="19">
        <f t="shared" si="9"/>
        <v>24.080160008323446</v>
      </c>
      <c r="L37" s="19">
        <f t="shared" si="9"/>
        <v>24.32096160840668</v>
      </c>
    </row>
    <row r="38" spans="1:20" ht="13.2" x14ac:dyDescent="0.25">
      <c r="A38">
        <v>22.5</v>
      </c>
      <c r="B38" t="s">
        <v>159</v>
      </c>
      <c r="C38" t="s">
        <v>158</v>
      </c>
      <c r="D38" s="18">
        <v>10.61</v>
      </c>
      <c r="E38" s="18">
        <v>10.14</v>
      </c>
      <c r="F38" s="18">
        <v>10.210000000000001</v>
      </c>
      <c r="G38" s="18">
        <v>10.39</v>
      </c>
      <c r="H38" s="18">
        <v>10.56</v>
      </c>
      <c r="I38" s="18">
        <v>10.9</v>
      </c>
      <c r="J38" s="18">
        <v>11.88</v>
      </c>
      <c r="K38" s="18">
        <v>12.87</v>
      </c>
      <c r="L38" s="18">
        <v>13.85</v>
      </c>
      <c r="P38" t="s">
        <v>7</v>
      </c>
    </row>
    <row r="39" spans="1:20" ht="26.4" x14ac:dyDescent="0.25">
      <c r="A39">
        <f>(A38/F17)/D17</f>
        <v>0.625</v>
      </c>
      <c r="B39" t="s">
        <v>160</v>
      </c>
      <c r="C39" t="s">
        <v>158</v>
      </c>
      <c r="D39">
        <v>14.9</v>
      </c>
    </row>
    <row r="40" spans="1:20" ht="13.2" x14ac:dyDescent="0.25">
      <c r="B40" t="s">
        <v>161</v>
      </c>
      <c r="C40" t="s">
        <v>158</v>
      </c>
      <c r="E40" s="18">
        <v>18.018999999999998</v>
      </c>
      <c r="F40" s="18">
        <v>18.344000000000001</v>
      </c>
      <c r="G40" s="18">
        <v>18.831</v>
      </c>
      <c r="H40" s="18">
        <v>19.641999999999999</v>
      </c>
      <c r="I40" s="18">
        <v>20.779</v>
      </c>
      <c r="J40" s="18">
        <v>21.593</v>
      </c>
      <c r="K40" s="18">
        <v>22.407</v>
      </c>
      <c r="L40" s="18">
        <v>23.22</v>
      </c>
      <c r="M40">
        <v>1000</v>
      </c>
    </row>
    <row r="41" spans="1:20" ht="26.4" x14ac:dyDescent="0.25">
      <c r="B41" s="50" t="s">
        <v>162</v>
      </c>
      <c r="C41" s="50" t="s">
        <v>163</v>
      </c>
      <c r="D41" s="50"/>
      <c r="E41" s="57">
        <v>17841</v>
      </c>
      <c r="F41" s="57">
        <v>17992</v>
      </c>
      <c r="G41" s="57">
        <v>18143</v>
      </c>
      <c r="H41" s="57">
        <v>18597</v>
      </c>
      <c r="I41" s="57">
        <v>19201</v>
      </c>
      <c r="J41" s="57">
        <v>19661</v>
      </c>
      <c r="K41" s="57">
        <v>20121</v>
      </c>
      <c r="L41" s="57">
        <v>20581</v>
      </c>
    </row>
    <row r="42" spans="1:20" ht="26.4" x14ac:dyDescent="0.25">
      <c r="B42" t="s">
        <v>164</v>
      </c>
      <c r="C42" t="s">
        <v>158</v>
      </c>
      <c r="D42" s="18">
        <f t="shared" ref="D42:L42" si="10">D37-D38</f>
        <v>11.850000000000001</v>
      </c>
      <c r="E42" s="18">
        <f t="shared" si="10"/>
        <v>12.544599999999999</v>
      </c>
      <c r="F42" s="18">
        <f t="shared" si="10"/>
        <v>12.701446000000001</v>
      </c>
      <c r="G42" s="18">
        <f t="shared" si="10"/>
        <v>12.750560460000003</v>
      </c>
      <c r="H42" s="18">
        <f t="shared" si="10"/>
        <v>12.811966064600002</v>
      </c>
      <c r="I42" s="18">
        <f t="shared" si="10"/>
        <v>12.705685725246001</v>
      </c>
      <c r="J42" s="18">
        <f t="shared" si="10"/>
        <v>11.961742582498461</v>
      </c>
      <c r="K42" s="18">
        <f t="shared" si="10"/>
        <v>11.210160008323447</v>
      </c>
      <c r="L42" s="18">
        <f t="shared" si="10"/>
        <v>10.470961608406681</v>
      </c>
    </row>
    <row r="43" spans="1:20" ht="26.4" x14ac:dyDescent="0.25">
      <c r="B43" s="10" t="s">
        <v>165</v>
      </c>
      <c r="C43" s="10" t="s">
        <v>166</v>
      </c>
      <c r="D43" s="41">
        <f t="shared" ref="D43:L43" si="11">(D42/1000)*D26</f>
        <v>0</v>
      </c>
      <c r="E43" s="41">
        <f t="shared" si="11"/>
        <v>12.168262</v>
      </c>
      <c r="F43" s="41">
        <f t="shared" si="11"/>
        <v>24.640805239999999</v>
      </c>
      <c r="G43" s="41">
        <f t="shared" si="11"/>
        <v>49.650682431240007</v>
      </c>
      <c r="H43" s="41">
        <f t="shared" si="11"/>
        <v>74.924377545780814</v>
      </c>
      <c r="I43" s="41">
        <f t="shared" si="11"/>
        <v>71.787124347639903</v>
      </c>
      <c r="J43" s="41">
        <f t="shared" si="11"/>
        <v>65.20345881719912</v>
      </c>
      <c r="K43" s="41">
        <f t="shared" si="11"/>
        <v>59.996776364547088</v>
      </c>
      <c r="L43" s="41">
        <f t="shared" si="11"/>
        <v>52.930710930495771</v>
      </c>
    </row>
    <row r="44" spans="1:20" ht="39.6" x14ac:dyDescent="0.25">
      <c r="B44" s="20" t="s">
        <v>167</v>
      </c>
      <c r="C44" s="20" t="s">
        <v>166</v>
      </c>
      <c r="D44" s="68">
        <f t="shared" ref="D44:L44" si="12">(D33*D38)/1000</f>
        <v>0</v>
      </c>
      <c r="E44" s="68">
        <f t="shared" si="12"/>
        <v>1.1154000000000002</v>
      </c>
      <c r="F44" s="68">
        <f t="shared" si="12"/>
        <v>37.164400000000001</v>
      </c>
      <c r="G44" s="68">
        <f t="shared" si="12"/>
        <v>34.349340000000005</v>
      </c>
      <c r="H44" s="68">
        <f t="shared" si="12"/>
        <v>38.227200000000003</v>
      </c>
      <c r="I44" s="68">
        <f t="shared" si="12"/>
        <v>56.134999999999998</v>
      </c>
      <c r="J44" s="68">
        <f t="shared" si="12"/>
        <v>73.81044</v>
      </c>
      <c r="K44" s="68">
        <f t="shared" si="12"/>
        <v>93.281759999999991</v>
      </c>
      <c r="L44" s="68">
        <f t="shared" si="12"/>
        <v>114.86913000000001</v>
      </c>
    </row>
    <row r="45" spans="1:20" ht="26.4" x14ac:dyDescent="0.25">
      <c r="B45" s="50" t="s">
        <v>168</v>
      </c>
      <c r="C45" s="50" t="s">
        <v>169</v>
      </c>
      <c r="D45" s="3">
        <f t="shared" ref="D45:L45" si="13">(D41*D33)/1000000</f>
        <v>0</v>
      </c>
      <c r="E45" s="3">
        <f t="shared" si="13"/>
        <v>1.96251</v>
      </c>
      <c r="F45" s="3">
        <f t="shared" si="13"/>
        <v>65.490880000000004</v>
      </c>
      <c r="G45" s="3">
        <f t="shared" si="13"/>
        <v>59.980758000000002</v>
      </c>
      <c r="H45" s="3">
        <f t="shared" si="13"/>
        <v>67.32114</v>
      </c>
      <c r="I45" s="3">
        <f t="shared" si="13"/>
        <v>98.885149999999996</v>
      </c>
      <c r="J45" s="3">
        <f t="shared" si="13"/>
        <v>122.15379299999999</v>
      </c>
      <c r="K45" s="3">
        <f t="shared" si="13"/>
        <v>145.837008</v>
      </c>
      <c r="L45" s="3">
        <f t="shared" si="13"/>
        <v>170.6946978</v>
      </c>
    </row>
    <row r="46" spans="1:20" ht="39.6" x14ac:dyDescent="0.25">
      <c r="B46" s="24" t="s">
        <v>170</v>
      </c>
      <c r="C46" s="82" t="s">
        <v>169</v>
      </c>
      <c r="D46" s="61">
        <f t="shared" ref="D46:L46" si="14">(D38*D33)/1000</f>
        <v>0</v>
      </c>
      <c r="E46" s="61">
        <f t="shared" si="14"/>
        <v>1.1154000000000002</v>
      </c>
      <c r="F46" s="61">
        <f t="shared" si="14"/>
        <v>37.164400000000001</v>
      </c>
      <c r="G46" s="61">
        <f t="shared" si="14"/>
        <v>34.349340000000005</v>
      </c>
      <c r="H46" s="61">
        <f t="shared" si="14"/>
        <v>38.227200000000003</v>
      </c>
      <c r="I46" s="61">
        <f t="shared" si="14"/>
        <v>56.134999999999998</v>
      </c>
      <c r="J46" s="61">
        <f t="shared" si="14"/>
        <v>73.81044</v>
      </c>
      <c r="K46" s="61">
        <f t="shared" si="14"/>
        <v>93.281759999999991</v>
      </c>
      <c r="L46" s="61">
        <f t="shared" si="14"/>
        <v>114.86913000000001</v>
      </c>
    </row>
    <row r="47" spans="1:20" ht="39.6" x14ac:dyDescent="0.25">
      <c r="B47" s="82" t="s">
        <v>171</v>
      </c>
      <c r="C47" s="82" t="s">
        <v>169</v>
      </c>
      <c r="D47" s="61">
        <f t="shared" ref="D47:L47" si="15">(D26*D38)/1000</f>
        <v>0</v>
      </c>
      <c r="E47" s="61">
        <f t="shared" si="15"/>
        <v>9.8358000000000008</v>
      </c>
      <c r="F47" s="61">
        <f t="shared" si="15"/>
        <v>19.807400000000001</v>
      </c>
      <c r="G47" s="61">
        <f t="shared" si="15"/>
        <v>40.458660000000002</v>
      </c>
      <c r="H47" s="61">
        <f t="shared" si="15"/>
        <v>61.754880000000007</v>
      </c>
      <c r="I47" s="61">
        <f t="shared" si="15"/>
        <v>61.585000000000001</v>
      </c>
      <c r="J47" s="61">
        <f t="shared" si="15"/>
        <v>64.75788</v>
      </c>
      <c r="K47" s="61">
        <f t="shared" si="15"/>
        <v>68.880239999999986</v>
      </c>
      <c r="L47" s="61">
        <f t="shared" si="15"/>
        <v>70.011750000000006</v>
      </c>
    </row>
    <row r="48" spans="1:20" ht="52.8" x14ac:dyDescent="0.25">
      <c r="A48" s="53"/>
      <c r="B48" s="31" t="s">
        <v>172</v>
      </c>
      <c r="C48" s="31" t="s">
        <v>169</v>
      </c>
      <c r="D48" s="83">
        <f t="shared" ref="D48:L48" si="16">D47+D46</f>
        <v>0</v>
      </c>
      <c r="E48" s="83">
        <f t="shared" si="16"/>
        <v>10.9512</v>
      </c>
      <c r="F48" s="83">
        <f t="shared" si="16"/>
        <v>56.971800000000002</v>
      </c>
      <c r="G48" s="83">
        <f t="shared" si="16"/>
        <v>74.808000000000007</v>
      </c>
      <c r="H48" s="83">
        <f t="shared" si="16"/>
        <v>99.982080000000011</v>
      </c>
      <c r="I48" s="83">
        <f t="shared" si="16"/>
        <v>117.72</v>
      </c>
      <c r="J48" s="83">
        <f t="shared" si="16"/>
        <v>138.56832</v>
      </c>
      <c r="K48" s="83">
        <f t="shared" si="16"/>
        <v>162.16199999999998</v>
      </c>
      <c r="L48" s="83">
        <f t="shared" si="16"/>
        <v>184.88088000000002</v>
      </c>
      <c r="M48" s="53"/>
      <c r="N48" s="53"/>
      <c r="O48" s="53"/>
      <c r="P48" s="53"/>
      <c r="Q48" s="53"/>
      <c r="R48" s="53"/>
      <c r="S48" s="53"/>
      <c r="T48" s="53"/>
    </row>
    <row r="49" spans="1:20" ht="39.6" x14ac:dyDescent="0.25">
      <c r="B49" t="s">
        <v>171</v>
      </c>
      <c r="C49" t="s">
        <v>169</v>
      </c>
      <c r="D49" s="18">
        <f t="shared" ref="D49:L49" si="17">D45+D47</f>
        <v>0</v>
      </c>
      <c r="E49" s="18">
        <f t="shared" si="17"/>
        <v>11.798310000000001</v>
      </c>
      <c r="F49" s="18">
        <f t="shared" si="17"/>
        <v>85.298280000000005</v>
      </c>
      <c r="G49" s="18">
        <f t="shared" si="17"/>
        <v>100.439418</v>
      </c>
      <c r="H49" s="18">
        <f t="shared" si="17"/>
        <v>129.07602</v>
      </c>
      <c r="I49" s="18">
        <f t="shared" si="17"/>
        <v>160.47014999999999</v>
      </c>
      <c r="J49" s="18">
        <f t="shared" si="17"/>
        <v>186.91167300000001</v>
      </c>
      <c r="K49" s="18">
        <f t="shared" si="17"/>
        <v>214.71724799999998</v>
      </c>
      <c r="L49" s="18">
        <f t="shared" si="17"/>
        <v>240.70644780000001</v>
      </c>
    </row>
    <row r="50" spans="1:20" ht="52.8" x14ac:dyDescent="0.25">
      <c r="D50" s="18"/>
      <c r="E50" s="18"/>
      <c r="F50" s="18"/>
      <c r="G50" s="18"/>
      <c r="H50" s="18"/>
      <c r="I50" s="18"/>
      <c r="J50" s="18"/>
      <c r="K50" s="18"/>
      <c r="L50" s="18"/>
      <c r="M50" t="s">
        <v>173</v>
      </c>
    </row>
    <row r="51" spans="1:20" ht="13.2" x14ac:dyDescent="0.25">
      <c r="B51" s="42" t="s">
        <v>174</v>
      </c>
      <c r="C51" s="42" t="s">
        <v>166</v>
      </c>
      <c r="D51" s="26">
        <f t="shared" ref="D51:L51" si="18">D13*$M$51</f>
        <v>0</v>
      </c>
      <c r="E51" s="26">
        <f t="shared" si="18"/>
        <v>10.032362459546926</v>
      </c>
      <c r="F51" s="26">
        <f t="shared" si="18"/>
        <v>51.833872707659118</v>
      </c>
      <c r="G51" s="26">
        <f t="shared" si="18"/>
        <v>66.882416396979508</v>
      </c>
      <c r="H51" s="26">
        <f t="shared" si="18"/>
        <v>87.950377562028052</v>
      </c>
      <c r="I51" s="26">
        <f t="shared" si="18"/>
        <v>100.32362459546925</v>
      </c>
      <c r="J51" s="26">
        <f t="shared" si="18"/>
        <v>108.34951456310679</v>
      </c>
      <c r="K51" s="26">
        <f t="shared" si="18"/>
        <v>117.04422869471414</v>
      </c>
      <c r="L51" s="26">
        <f t="shared" si="18"/>
        <v>124</v>
      </c>
      <c r="M51" s="16">
        <f>124/L13</f>
        <v>0.33441208198489752</v>
      </c>
      <c r="N51">
        <f>M51*L13</f>
        <v>124</v>
      </c>
      <c r="O51" s="16">
        <f>SUM(D51:L51)</f>
        <v>666.4163969795037</v>
      </c>
    </row>
    <row r="52" spans="1:20" ht="39.6" x14ac:dyDescent="0.25">
      <c r="B52" s="74" t="s">
        <v>175</v>
      </c>
      <c r="C52" s="74" t="s">
        <v>166</v>
      </c>
      <c r="D52" s="72">
        <f t="shared" ref="D52:L52" si="19">D51-D43</f>
        <v>0</v>
      </c>
      <c r="E52" s="72">
        <f t="shared" si="19"/>
        <v>-2.1358995404530745</v>
      </c>
      <c r="F52" s="72">
        <f t="shared" si="19"/>
        <v>27.19306746765912</v>
      </c>
      <c r="G52" s="72">
        <f t="shared" si="19"/>
        <v>17.231733965739501</v>
      </c>
      <c r="H52" s="72">
        <f t="shared" si="19"/>
        <v>13.026000016247238</v>
      </c>
      <c r="I52" s="72">
        <f t="shared" si="19"/>
        <v>28.536500247829352</v>
      </c>
      <c r="J52" s="72">
        <f t="shared" si="19"/>
        <v>43.146055745907674</v>
      </c>
      <c r="K52" s="72">
        <f t="shared" si="19"/>
        <v>57.047452330167047</v>
      </c>
      <c r="L52" s="72">
        <f t="shared" si="19"/>
        <v>71.069289069504237</v>
      </c>
      <c r="O52" s="16">
        <f>SUM(D52:L52)</f>
        <v>255.11419930260109</v>
      </c>
    </row>
    <row r="53" spans="1:20" ht="52.8" x14ac:dyDescent="0.25">
      <c r="B53" s="50" t="s">
        <v>176</v>
      </c>
      <c r="C53" s="50" t="s">
        <v>166</v>
      </c>
      <c r="D53" s="3">
        <f t="shared" ref="D53:L53" si="20">(D51-D45)+D43</f>
        <v>0</v>
      </c>
      <c r="E53" s="3">
        <f t="shared" si="20"/>
        <v>20.238114459546928</v>
      </c>
      <c r="F53" s="3">
        <f t="shared" si="20"/>
        <v>10.983797947659113</v>
      </c>
      <c r="G53" s="3">
        <f t="shared" si="20"/>
        <v>56.552340828219513</v>
      </c>
      <c r="H53" s="3">
        <f t="shared" si="20"/>
        <v>95.553615107808866</v>
      </c>
      <c r="I53" s="3">
        <f t="shared" si="20"/>
        <v>73.225598943109162</v>
      </c>
      <c r="J53" s="3">
        <f t="shared" si="20"/>
        <v>51.399180380305921</v>
      </c>
      <c r="K53" s="3">
        <f t="shared" si="20"/>
        <v>31.203997059261226</v>
      </c>
      <c r="L53" s="3">
        <f t="shared" si="20"/>
        <v>6.2360131304957704</v>
      </c>
      <c r="O53" s="16">
        <f>SUM(D53:L53)</f>
        <v>345.39265785640646</v>
      </c>
    </row>
    <row r="54" spans="1:20" ht="13.2" x14ac:dyDescent="0.25">
      <c r="D54" s="18"/>
      <c r="E54" s="18"/>
      <c r="F54" s="18"/>
      <c r="G54" s="18"/>
      <c r="H54" s="18"/>
      <c r="I54" s="18"/>
      <c r="J54" s="18"/>
      <c r="K54" s="18"/>
      <c r="L54" s="18"/>
    </row>
    <row r="57" spans="1:20" ht="13.2" x14ac:dyDescent="0.25">
      <c r="C57" s="67">
        <f>abitabelid!I17</f>
        <v>0.35348212628212627</v>
      </c>
    </row>
    <row r="58" spans="1:20" ht="26.4" x14ac:dyDescent="0.25">
      <c r="B58" s="36" t="s">
        <v>177</v>
      </c>
      <c r="C58" s="36" t="s">
        <v>178</v>
      </c>
      <c r="D58" s="76">
        <f t="shared" ref="D58:L58" si="21">($C$57*D19)/1000</f>
        <v>0</v>
      </c>
      <c r="E58" s="76">
        <f t="shared" si="21"/>
        <v>0.10604463788463787</v>
      </c>
      <c r="F58" s="76">
        <f t="shared" si="21"/>
        <v>0.54789729573729573</v>
      </c>
      <c r="G58" s="76">
        <f t="shared" si="21"/>
        <v>0.70696425256425255</v>
      </c>
      <c r="H58" s="76">
        <f t="shared" si="21"/>
        <v>0.92965799212199218</v>
      </c>
      <c r="I58" s="76">
        <f t="shared" si="21"/>
        <v>1.0604463788463787</v>
      </c>
      <c r="J58" s="76">
        <f t="shared" si="21"/>
        <v>1.1452820891540891</v>
      </c>
      <c r="K58" s="76">
        <f t="shared" si="21"/>
        <v>1.237187441987442</v>
      </c>
      <c r="L58" s="76">
        <f t="shared" si="21"/>
        <v>1.3107117242541242</v>
      </c>
    </row>
    <row r="59" spans="1:20" ht="13.2" x14ac:dyDescent="0.25">
      <c r="B59" s="36"/>
      <c r="C59" s="36" t="s">
        <v>179</v>
      </c>
      <c r="D59" s="76">
        <f t="shared" ref="D59:L59" si="22">($C$57*D20)/1000</f>
        <v>0</v>
      </c>
      <c r="E59" s="76">
        <f t="shared" si="22"/>
        <v>0.38176069638469634</v>
      </c>
      <c r="F59" s="76">
        <f t="shared" si="22"/>
        <v>1.9724302646542646</v>
      </c>
      <c r="G59" s="76">
        <f t="shared" si="22"/>
        <v>2.5450713092313091</v>
      </c>
      <c r="H59" s="76">
        <f t="shared" si="22"/>
        <v>3.3467687716391716</v>
      </c>
      <c r="I59" s="76">
        <f t="shared" si="22"/>
        <v>3.8176069638469641</v>
      </c>
      <c r="J59" s="76">
        <f t="shared" si="22"/>
        <v>4.1230155209547208</v>
      </c>
      <c r="K59" s="76">
        <f t="shared" si="22"/>
        <v>4.4538747911547905</v>
      </c>
      <c r="L59" s="76">
        <f t="shared" si="22"/>
        <v>4.7185622073148483</v>
      </c>
    </row>
    <row r="60" spans="1:20" ht="39.6" x14ac:dyDescent="0.25">
      <c r="A60" s="53">
        <f>((A64+A63)+A62)+A61</f>
        <v>0.8</v>
      </c>
      <c r="B60" s="53" t="s">
        <v>180</v>
      </c>
      <c r="C60" s="53" t="s">
        <v>181</v>
      </c>
      <c r="D60" s="53">
        <f t="shared" ref="D60:L60" si="23">SUM(D61:D64)</f>
        <v>0</v>
      </c>
      <c r="E60" s="53">
        <f t="shared" si="23"/>
        <v>24</v>
      </c>
      <c r="F60" s="53">
        <f t="shared" si="23"/>
        <v>124</v>
      </c>
      <c r="G60" s="53">
        <f t="shared" si="23"/>
        <v>160</v>
      </c>
      <c r="H60" s="53">
        <f t="shared" si="23"/>
        <v>210.39999999999998</v>
      </c>
      <c r="I60" s="53">
        <f t="shared" si="23"/>
        <v>240</v>
      </c>
      <c r="J60" s="53">
        <f t="shared" si="23"/>
        <v>259.2</v>
      </c>
      <c r="K60" s="53">
        <f t="shared" si="23"/>
        <v>280</v>
      </c>
      <c r="L60" s="53">
        <f t="shared" si="23"/>
        <v>296.64</v>
      </c>
      <c r="M60" s="53"/>
      <c r="N60" s="53"/>
      <c r="O60" s="53"/>
      <c r="P60" s="53"/>
      <c r="Q60" s="53"/>
      <c r="R60" s="53"/>
      <c r="S60" s="53"/>
      <c r="T60" s="53"/>
    </row>
    <row r="61" spans="1:20" ht="26.4" x14ac:dyDescent="0.25">
      <c r="A61">
        <v>0.35</v>
      </c>
      <c r="B61" t="s">
        <v>182</v>
      </c>
      <c r="C61" t="s">
        <v>181</v>
      </c>
      <c r="D61">
        <f t="shared" ref="D61:L61" si="24">$A$61*D13</f>
        <v>0</v>
      </c>
      <c r="E61">
        <f t="shared" si="24"/>
        <v>10.5</v>
      </c>
      <c r="F61">
        <f t="shared" si="24"/>
        <v>54.25</v>
      </c>
      <c r="G61">
        <f t="shared" si="24"/>
        <v>70</v>
      </c>
      <c r="H61">
        <f t="shared" si="24"/>
        <v>92.05</v>
      </c>
      <c r="I61">
        <f t="shared" si="24"/>
        <v>105</v>
      </c>
      <c r="J61">
        <f t="shared" si="24"/>
        <v>113.39999999999999</v>
      </c>
      <c r="K61">
        <f t="shared" si="24"/>
        <v>122.49999999999999</v>
      </c>
      <c r="L61">
        <f t="shared" si="24"/>
        <v>129.78</v>
      </c>
    </row>
    <row r="62" spans="1:20" ht="13.2" x14ac:dyDescent="0.25">
      <c r="A62">
        <v>0.17</v>
      </c>
      <c r="B62" t="s">
        <v>183</v>
      </c>
      <c r="C62" t="s">
        <v>181</v>
      </c>
      <c r="D62">
        <f t="shared" ref="D62:L62" si="25">$A$62*D13</f>
        <v>0</v>
      </c>
      <c r="E62">
        <f t="shared" si="25"/>
        <v>5.1000000000000005</v>
      </c>
      <c r="F62">
        <f t="shared" si="25"/>
        <v>26.35</v>
      </c>
      <c r="G62">
        <f t="shared" si="25"/>
        <v>34</v>
      </c>
      <c r="H62">
        <f t="shared" si="25"/>
        <v>44.71</v>
      </c>
      <c r="I62">
        <f t="shared" si="25"/>
        <v>51.000000000000007</v>
      </c>
      <c r="J62">
        <f t="shared" si="25"/>
        <v>55.080000000000005</v>
      </c>
      <c r="K62">
        <f t="shared" si="25"/>
        <v>59.500000000000007</v>
      </c>
      <c r="L62">
        <f t="shared" si="25"/>
        <v>63.036000000000008</v>
      </c>
    </row>
    <row r="63" spans="1:20" ht="13.2" x14ac:dyDescent="0.25">
      <c r="A63">
        <v>0.15</v>
      </c>
      <c r="B63" t="s">
        <v>184</v>
      </c>
      <c r="C63" t="s">
        <v>181</v>
      </c>
      <c r="D63">
        <f t="shared" ref="D63:L63" si="26">$A$63*D13</f>
        <v>0</v>
      </c>
      <c r="E63">
        <f t="shared" si="26"/>
        <v>4.5</v>
      </c>
      <c r="F63">
        <f t="shared" si="26"/>
        <v>23.25</v>
      </c>
      <c r="G63">
        <f t="shared" si="26"/>
        <v>30</v>
      </c>
      <c r="H63">
        <f t="shared" si="26"/>
        <v>39.449999999999996</v>
      </c>
      <c r="I63">
        <f t="shared" si="26"/>
        <v>45</v>
      </c>
      <c r="J63">
        <f t="shared" si="26"/>
        <v>48.6</v>
      </c>
      <c r="K63">
        <f t="shared" si="26"/>
        <v>52.5</v>
      </c>
      <c r="L63">
        <f t="shared" si="26"/>
        <v>55.62</v>
      </c>
    </row>
    <row r="64" spans="1:20" ht="105.6" x14ac:dyDescent="0.25">
      <c r="A64">
        <v>0.13</v>
      </c>
      <c r="B64" t="s">
        <v>185</v>
      </c>
      <c r="C64" t="s">
        <v>181</v>
      </c>
      <c r="D64">
        <f t="shared" ref="D64:L64" si="27">$A$64*D13</f>
        <v>0</v>
      </c>
      <c r="E64">
        <f t="shared" si="27"/>
        <v>3.9000000000000004</v>
      </c>
      <c r="F64">
        <f t="shared" si="27"/>
        <v>20.150000000000002</v>
      </c>
      <c r="G64">
        <f t="shared" si="27"/>
        <v>26</v>
      </c>
      <c r="H64">
        <f t="shared" si="27"/>
        <v>34.19</v>
      </c>
      <c r="I64">
        <f t="shared" si="27"/>
        <v>39</v>
      </c>
      <c r="J64">
        <f t="shared" si="27"/>
        <v>42.120000000000005</v>
      </c>
      <c r="K64">
        <f t="shared" si="27"/>
        <v>45.5</v>
      </c>
      <c r="L64">
        <f t="shared" si="27"/>
        <v>48.204000000000001</v>
      </c>
    </row>
    <row r="65" spans="1:15" ht="39.6" x14ac:dyDescent="0.25">
      <c r="B65" t="s">
        <v>186</v>
      </c>
      <c r="C65" t="s">
        <v>181</v>
      </c>
      <c r="D65" s="84">
        <f t="shared" ref="D65:L65" si="28">(D38*D20)*1000</f>
        <v>0</v>
      </c>
      <c r="E65" s="84">
        <f t="shared" si="28"/>
        <v>10951200</v>
      </c>
      <c r="F65" s="84">
        <f t="shared" si="28"/>
        <v>56971800</v>
      </c>
      <c r="G65" s="84">
        <f t="shared" si="28"/>
        <v>74808000</v>
      </c>
      <c r="H65" s="84">
        <f t="shared" si="28"/>
        <v>99982080</v>
      </c>
      <c r="I65" s="84">
        <f t="shared" si="28"/>
        <v>117720000</v>
      </c>
      <c r="J65" s="84">
        <f t="shared" si="28"/>
        <v>138568320</v>
      </c>
      <c r="K65" s="84">
        <f t="shared" si="28"/>
        <v>162162000</v>
      </c>
      <c r="L65" s="84">
        <f t="shared" si="28"/>
        <v>184880880</v>
      </c>
    </row>
    <row r="66" spans="1:15" ht="26.4" x14ac:dyDescent="0.25">
      <c r="B66" t="s">
        <v>187</v>
      </c>
      <c r="C66" t="s">
        <v>181</v>
      </c>
      <c r="D66" s="84">
        <f t="shared" ref="D66:L66" si="29">D41*D20</f>
        <v>0</v>
      </c>
      <c r="E66" s="84">
        <f t="shared" si="29"/>
        <v>19268280</v>
      </c>
      <c r="F66" s="84">
        <f t="shared" si="29"/>
        <v>100395360</v>
      </c>
      <c r="G66" s="84">
        <f t="shared" si="29"/>
        <v>130629600</v>
      </c>
      <c r="H66" s="84">
        <f t="shared" si="29"/>
        <v>176076396</v>
      </c>
      <c r="I66" s="84">
        <f t="shared" si="29"/>
        <v>207370800</v>
      </c>
      <c r="J66" s="84">
        <f t="shared" si="29"/>
        <v>229325904</v>
      </c>
      <c r="K66" s="84">
        <f t="shared" si="29"/>
        <v>253524600</v>
      </c>
      <c r="L66" s="84">
        <f t="shared" si="29"/>
        <v>274731652.80000001</v>
      </c>
    </row>
    <row r="67" spans="1:15" ht="145.19999999999999" x14ac:dyDescent="0.25">
      <c r="A67" t="s">
        <v>188</v>
      </c>
      <c r="B67" s="30" t="s">
        <v>189</v>
      </c>
      <c r="C67" t="s">
        <v>7</v>
      </c>
      <c r="D67" s="43"/>
      <c r="E67" s="43"/>
      <c r="F67" s="43"/>
      <c r="G67" s="43"/>
      <c r="H67" s="43"/>
      <c r="I67" s="43"/>
      <c r="J67" s="43"/>
      <c r="K67" s="43"/>
      <c r="L67" s="43"/>
    </row>
    <row r="68" spans="1:15" ht="26.4" x14ac:dyDescent="0.25">
      <c r="A68" s="84">
        <f>abitabelid!D33</f>
        <v>848392</v>
      </c>
      <c r="B68" t="s">
        <v>190</v>
      </c>
      <c r="C68" s="56" t="s">
        <v>181</v>
      </c>
      <c r="D68" s="52">
        <f t="shared" ref="D68:L68" si="30">$A$68*D14</f>
        <v>0</v>
      </c>
      <c r="E68" s="52">
        <f t="shared" si="30"/>
        <v>25451760</v>
      </c>
      <c r="F68" s="52">
        <f t="shared" si="30"/>
        <v>106049000</v>
      </c>
      <c r="G68" s="52">
        <f t="shared" si="30"/>
        <v>38177640</v>
      </c>
      <c r="H68" s="52">
        <f t="shared" si="30"/>
        <v>53448696</v>
      </c>
      <c r="I68" s="52">
        <f t="shared" si="30"/>
        <v>31390504</v>
      </c>
      <c r="J68" s="52">
        <f t="shared" si="30"/>
        <v>20361408</v>
      </c>
      <c r="K68" s="52">
        <f t="shared" si="30"/>
        <v>22058192</v>
      </c>
      <c r="L68" s="52">
        <f t="shared" si="30"/>
        <v>17646553.600000009</v>
      </c>
      <c r="M68" s="62" t="s">
        <v>191</v>
      </c>
    </row>
    <row r="69" spans="1:15" ht="13.2" x14ac:dyDescent="0.25">
      <c r="A69" s="84">
        <f>abitabelid!D30</f>
        <v>2827440</v>
      </c>
      <c r="B69" t="s">
        <v>192</v>
      </c>
      <c r="C69" t="s">
        <v>181</v>
      </c>
      <c r="D69" s="44">
        <f t="shared" ref="D69:L69" si="31">$M$69*D14</f>
        <v>0</v>
      </c>
      <c r="E69" s="44">
        <f t="shared" si="31"/>
        <v>84823200</v>
      </c>
      <c r="F69" s="44">
        <f t="shared" si="31"/>
        <v>353430000</v>
      </c>
      <c r="G69" s="44">
        <f t="shared" si="31"/>
        <v>127234800</v>
      </c>
      <c r="H69" s="44">
        <f t="shared" si="31"/>
        <v>178128720</v>
      </c>
      <c r="I69" s="44">
        <f t="shared" si="31"/>
        <v>104615280</v>
      </c>
      <c r="J69" s="44">
        <f t="shared" si="31"/>
        <v>67858560</v>
      </c>
      <c r="K69" s="44">
        <f t="shared" si="31"/>
        <v>73513440</v>
      </c>
      <c r="L69" s="44">
        <f t="shared" si="31"/>
        <v>58810752.00000003</v>
      </c>
      <c r="M69" s="7">
        <f>abitabelid!D30</f>
        <v>2827440</v>
      </c>
      <c r="N69" t="s">
        <v>7</v>
      </c>
    </row>
    <row r="70" spans="1:15" ht="13.2" x14ac:dyDescent="0.25">
      <c r="A70" s="84"/>
      <c r="B70" t="s">
        <v>7</v>
      </c>
      <c r="D70" s="84"/>
      <c r="E70" s="84" t="s">
        <v>7</v>
      </c>
      <c r="F70" s="84" t="s">
        <v>7</v>
      </c>
      <c r="G70" s="84" t="s">
        <v>7</v>
      </c>
      <c r="H70" s="84" t="s">
        <v>7</v>
      </c>
      <c r="I70" s="84" t="s">
        <v>7</v>
      </c>
      <c r="J70" s="84" t="s">
        <v>7</v>
      </c>
      <c r="K70" s="84" t="s">
        <v>7</v>
      </c>
      <c r="L70" s="84" t="s">
        <v>7</v>
      </c>
      <c r="M70" s="84">
        <f>M69*L13</f>
        <v>1048414752</v>
      </c>
      <c r="N70" t="s">
        <v>7</v>
      </c>
    </row>
    <row r="71" spans="1:15" ht="13.2" x14ac:dyDescent="0.25">
      <c r="A71" s="84">
        <f>abitabelid!D36</f>
        <v>500000</v>
      </c>
      <c r="B71" t="s">
        <v>193</v>
      </c>
      <c r="C71" t="s">
        <v>181</v>
      </c>
      <c r="D71" s="84">
        <f t="shared" ref="D71:L71" si="32">$A$71*D14</f>
        <v>0</v>
      </c>
      <c r="E71" s="84">
        <f t="shared" si="32"/>
        <v>15000000</v>
      </c>
      <c r="F71" s="84">
        <f t="shared" si="32"/>
        <v>62500000</v>
      </c>
      <c r="G71" s="84">
        <f t="shared" si="32"/>
        <v>22500000</v>
      </c>
      <c r="H71" s="84">
        <f t="shared" si="32"/>
        <v>31500000</v>
      </c>
      <c r="I71" s="84">
        <f t="shared" si="32"/>
        <v>18500000</v>
      </c>
      <c r="J71" s="84">
        <f t="shared" si="32"/>
        <v>12000000</v>
      </c>
      <c r="K71" s="84">
        <f t="shared" si="32"/>
        <v>13000000</v>
      </c>
      <c r="L71" s="84">
        <f t="shared" si="32"/>
        <v>10400000.000000006</v>
      </c>
      <c r="N71" t="s">
        <v>7</v>
      </c>
    </row>
    <row r="72" spans="1:15" ht="13.2" x14ac:dyDescent="0.25">
      <c r="A72" s="16">
        <f>abitabelid!D48</f>
        <v>369940.17094017094</v>
      </c>
      <c r="B72" t="s">
        <v>194</v>
      </c>
      <c r="C72" t="s">
        <v>181</v>
      </c>
      <c r="D72" s="84">
        <f t="shared" ref="D72:L72" si="33">$A$72*D14</f>
        <v>0</v>
      </c>
      <c r="E72" s="84">
        <f t="shared" si="33"/>
        <v>11098205.128205128</v>
      </c>
      <c r="F72" s="84">
        <f t="shared" si="33"/>
        <v>46242521.367521368</v>
      </c>
      <c r="G72" s="84">
        <f t="shared" si="33"/>
        <v>16647307.692307692</v>
      </c>
      <c r="H72" s="84">
        <f t="shared" si="33"/>
        <v>23306230.769230768</v>
      </c>
      <c r="I72" s="84">
        <f t="shared" si="33"/>
        <v>13687786.324786324</v>
      </c>
      <c r="J72" s="84">
        <f t="shared" si="33"/>
        <v>8878564.102564102</v>
      </c>
      <c r="K72" s="84">
        <f t="shared" si="33"/>
        <v>9618444.444444444</v>
      </c>
      <c r="L72" s="84">
        <f t="shared" si="33"/>
        <v>7694755.5555555597</v>
      </c>
    </row>
    <row r="74" spans="1:15" ht="13.2" x14ac:dyDescent="0.25">
      <c r="B74" t="s">
        <v>7</v>
      </c>
      <c r="C74" t="s">
        <v>7</v>
      </c>
    </row>
    <row r="75" spans="1:15" ht="13.2" x14ac:dyDescent="0.25">
      <c r="B75" t="s">
        <v>7</v>
      </c>
      <c r="C75" t="s">
        <v>7</v>
      </c>
    </row>
    <row r="76" spans="1:15" ht="13.2" x14ac:dyDescent="0.25">
      <c r="B76" t="s">
        <v>7</v>
      </c>
      <c r="C76" t="s">
        <v>7</v>
      </c>
    </row>
    <row r="77" spans="1:15" ht="13.2" x14ac:dyDescent="0.25">
      <c r="B77" t="s">
        <v>7</v>
      </c>
      <c r="C77" t="s">
        <v>7</v>
      </c>
    </row>
    <row r="78" spans="1:15" ht="79.2" x14ac:dyDescent="0.25">
      <c r="B78" s="30" t="s">
        <v>195</v>
      </c>
      <c r="M78" s="10" t="s">
        <v>196</v>
      </c>
      <c r="N78" t="s">
        <v>197</v>
      </c>
      <c r="O78" t="s">
        <v>198</v>
      </c>
    </row>
    <row r="79" spans="1:15" ht="66" x14ac:dyDescent="0.25">
      <c r="A79" t="s">
        <v>199</v>
      </c>
      <c r="B79" t="s">
        <v>200</v>
      </c>
      <c r="C79" t="s">
        <v>201</v>
      </c>
      <c r="D79" s="16">
        <f t="shared" ref="D79:L79" si="34">D14/$N$80</f>
        <v>0</v>
      </c>
      <c r="E79" s="16">
        <f t="shared" si="34"/>
        <v>8.2668478964401295</v>
      </c>
      <c r="F79" s="16">
        <f t="shared" si="34"/>
        <v>34.445199568500541</v>
      </c>
      <c r="G79" s="16">
        <f t="shared" si="34"/>
        <v>12.400271844660194</v>
      </c>
      <c r="H79" s="16">
        <f t="shared" si="34"/>
        <v>17.360380582524272</v>
      </c>
      <c r="I79" s="16">
        <f t="shared" si="34"/>
        <v>10.19577907227616</v>
      </c>
      <c r="J79" s="16">
        <f t="shared" si="34"/>
        <v>6.6134783171521034</v>
      </c>
      <c r="K79" s="16">
        <f t="shared" si="34"/>
        <v>7.1646015102481124</v>
      </c>
      <c r="L79" s="16">
        <f t="shared" si="34"/>
        <v>5.7316812081984931</v>
      </c>
    </row>
    <row r="80" spans="1:15" ht="13.2" x14ac:dyDescent="0.25">
      <c r="A80" s="18">
        <f>abitabelid!F66</f>
        <v>1255.5000030718379</v>
      </c>
      <c r="B80" t="s">
        <v>202</v>
      </c>
      <c r="C80" t="s">
        <v>196</v>
      </c>
      <c r="D80" s="18">
        <f t="shared" ref="D80:L80" si="35">(D79*1000000)/$A$80</f>
        <v>0</v>
      </c>
      <c r="E80" s="18">
        <f t="shared" si="35"/>
        <v>6584.5064724919102</v>
      </c>
      <c r="F80" s="18">
        <f t="shared" si="35"/>
        <v>27435.443635382959</v>
      </c>
      <c r="G80" s="18">
        <f t="shared" si="35"/>
        <v>9876.7597087378654</v>
      </c>
      <c r="H80" s="18">
        <f t="shared" si="35"/>
        <v>13827.463592233009</v>
      </c>
      <c r="I80" s="18">
        <f t="shared" si="35"/>
        <v>8120.8913160733555</v>
      </c>
      <c r="J80" s="18">
        <f t="shared" si="35"/>
        <v>5267.6051779935278</v>
      </c>
      <c r="K80" s="18">
        <f t="shared" si="35"/>
        <v>5706.5722761596553</v>
      </c>
      <c r="L80" s="18">
        <f t="shared" si="35"/>
        <v>4565.2578209277272</v>
      </c>
      <c r="M80" s="41">
        <f>SUM(D80:L80)</f>
        <v>81384.5</v>
      </c>
      <c r="N80" s="16">
        <f>(M14*1000000)/O80</f>
        <v>3.6289527006924369</v>
      </c>
      <c r="O80" s="70">
        <f>abitabelid!D65</f>
        <v>102178240</v>
      </c>
    </row>
    <row r="81" spans="1:15" ht="26.4" x14ac:dyDescent="0.25">
      <c r="B81" t="s">
        <v>203</v>
      </c>
      <c r="C81" t="s">
        <v>196</v>
      </c>
      <c r="D81" s="18">
        <f t="shared" ref="D81:L81" si="36">((D14/$N$81)*1000000)/$A$80</f>
        <v>0</v>
      </c>
      <c r="E81" s="18">
        <f t="shared" si="36"/>
        <v>7766.990272258603</v>
      </c>
      <c r="F81" s="18">
        <f t="shared" si="36"/>
        <v>32362.459467744182</v>
      </c>
      <c r="G81" s="18">
        <f t="shared" si="36"/>
        <v>11650.485408387905</v>
      </c>
      <c r="H81" s="18">
        <f t="shared" si="36"/>
        <v>16310.679571743069</v>
      </c>
      <c r="I81" s="18">
        <f t="shared" si="36"/>
        <v>9579.2880024522783</v>
      </c>
      <c r="J81" s="18">
        <f t="shared" si="36"/>
        <v>6213.5922178068822</v>
      </c>
      <c r="K81" s="18">
        <f t="shared" si="36"/>
        <v>6731.3915692907904</v>
      </c>
      <c r="L81" s="18">
        <f t="shared" si="36"/>
        <v>5385.113255432635</v>
      </c>
      <c r="M81" s="41">
        <f>SUM(D81:L81)</f>
        <v>95999.999765116343</v>
      </c>
      <c r="N81" s="16">
        <f>(M14*1000000)/O81</f>
        <v>3.0764635603345281</v>
      </c>
      <c r="O81" s="84">
        <f>abitabelid!D77</f>
        <v>120528000</v>
      </c>
    </row>
    <row r="82" spans="1:15" ht="39.6" x14ac:dyDescent="0.25">
      <c r="A82" s="74">
        <f>abitabelid!L69</f>
        <v>578.33999999999992</v>
      </c>
      <c r="B82" s="74" t="s">
        <v>204</v>
      </c>
      <c r="C82" s="74" t="s">
        <v>196</v>
      </c>
      <c r="D82" s="72">
        <f t="shared" ref="D82:L82" si="37">((D14/$N$82)*1000000)/$A$82</f>
        <v>0</v>
      </c>
      <c r="E82" s="72">
        <f t="shared" si="37"/>
        <v>1213.5922330097089</v>
      </c>
      <c r="F82" s="72">
        <f t="shared" si="37"/>
        <v>5056.6343042071203</v>
      </c>
      <c r="G82" s="72">
        <f t="shared" si="37"/>
        <v>1820.3883495145633</v>
      </c>
      <c r="H82" s="72">
        <f t="shared" si="37"/>
        <v>2548.5436893203887</v>
      </c>
      <c r="I82" s="72">
        <f t="shared" si="37"/>
        <v>1496.7637540453079</v>
      </c>
      <c r="J82" s="72">
        <f t="shared" si="37"/>
        <v>970.87378640776706</v>
      </c>
      <c r="K82" s="72">
        <f t="shared" si="37"/>
        <v>1051.779935275081</v>
      </c>
      <c r="L82" s="72">
        <f t="shared" si="37"/>
        <v>841.42394822006531</v>
      </c>
      <c r="M82" s="72">
        <f>SUM(D82:L82)</f>
        <v>15000</v>
      </c>
      <c r="N82" s="37">
        <f>(M14*1000000)/O82</f>
        <v>42.743023135179996</v>
      </c>
      <c r="O82" s="9">
        <f>abitabelid!O87</f>
        <v>8675100</v>
      </c>
    </row>
    <row r="83" spans="1:15" ht="26.4" x14ac:dyDescent="0.25">
      <c r="B83" t="s">
        <v>205</v>
      </c>
      <c r="C83" t="s">
        <v>196</v>
      </c>
      <c r="D83" s="18">
        <f t="shared" ref="D83:L83" si="38">((D14/$N$83)*1000000)/$A$80</f>
        <v>0</v>
      </c>
      <c r="E83" s="18">
        <f t="shared" si="38"/>
        <v>4362.1763808419164</v>
      </c>
      <c r="F83" s="18">
        <f t="shared" si="38"/>
        <v>18175.734920174647</v>
      </c>
      <c r="G83" s="18">
        <f t="shared" si="38"/>
        <v>6543.2645712628737</v>
      </c>
      <c r="H83" s="18">
        <f t="shared" si="38"/>
        <v>9160.5703997680248</v>
      </c>
      <c r="I83" s="18">
        <f t="shared" si="38"/>
        <v>5380.0175363716971</v>
      </c>
      <c r="J83" s="18">
        <f t="shared" si="38"/>
        <v>3489.7411046735324</v>
      </c>
      <c r="K83" s="18">
        <f t="shared" si="38"/>
        <v>3780.5528633963268</v>
      </c>
      <c r="L83" s="18">
        <f t="shared" si="38"/>
        <v>3024.4422907170633</v>
      </c>
      <c r="M83" s="41">
        <f>SUM(D83:L83)</f>
        <v>53916.500067206085</v>
      </c>
      <c r="N83" s="16">
        <f>(L13/O83)*1000000</f>
        <v>5.4777387386304062</v>
      </c>
      <c r="O83" s="84">
        <f>abitabelid!D81</f>
        <v>67692166</v>
      </c>
    </row>
    <row r="84" spans="1:15" ht="45" customHeight="1" x14ac:dyDescent="0.25"/>
    <row r="85" spans="1:15" ht="79.2" x14ac:dyDescent="0.25">
      <c r="A85" s="8">
        <f>abitabelid!C158</f>
        <v>1.9038130387644455E-2</v>
      </c>
      <c r="B85" t="s">
        <v>206</v>
      </c>
      <c r="C85" t="s">
        <v>166</v>
      </c>
      <c r="D85" s="16">
        <f t="shared" ref="D85:L85" si="39">$A$85*D14</f>
        <v>0</v>
      </c>
      <c r="E85" s="16">
        <f t="shared" si="39"/>
        <v>0.57114391162933364</v>
      </c>
      <c r="F85" s="16">
        <f t="shared" si="39"/>
        <v>2.3797662984555568</v>
      </c>
      <c r="G85" s="16">
        <f t="shared" si="39"/>
        <v>0.85671586744400052</v>
      </c>
      <c r="H85" s="16">
        <f t="shared" si="39"/>
        <v>1.1994022144216008</v>
      </c>
      <c r="I85" s="16">
        <f t="shared" si="39"/>
        <v>0.70441082434284485</v>
      </c>
      <c r="J85" s="16">
        <f t="shared" si="39"/>
        <v>0.45691512930346689</v>
      </c>
      <c r="K85" s="16">
        <f t="shared" si="39"/>
        <v>0.49499139007875581</v>
      </c>
      <c r="L85" s="16">
        <f t="shared" si="39"/>
        <v>0.39599311206300486</v>
      </c>
      <c r="M85" s="16">
        <f>SUM(D85:L85)</f>
        <v>7.0593387477385638</v>
      </c>
      <c r="N85" t="s">
        <v>207</v>
      </c>
    </row>
    <row r="86" spans="1:15" ht="52.8" x14ac:dyDescent="0.25">
      <c r="A86" s="16">
        <f>-abitabelid!B154</f>
        <v>-2851.1502916693971</v>
      </c>
      <c r="B86" t="s">
        <v>208</v>
      </c>
      <c r="C86" t="s">
        <v>209</v>
      </c>
      <c r="D86" s="18">
        <f t="shared" ref="D86:L86" si="40">$A$86*D13</f>
        <v>0</v>
      </c>
      <c r="E86" s="18">
        <f t="shared" si="40"/>
        <v>-85534.508750081906</v>
      </c>
      <c r="F86" s="18">
        <f t="shared" si="40"/>
        <v>-441928.29520875658</v>
      </c>
      <c r="G86" s="18">
        <f t="shared" si="40"/>
        <v>-570230.05833387945</v>
      </c>
      <c r="H86" s="18">
        <f t="shared" si="40"/>
        <v>-749852.52670905145</v>
      </c>
      <c r="I86" s="18">
        <f t="shared" si="40"/>
        <v>-855345.08750081912</v>
      </c>
      <c r="J86" s="18">
        <f t="shared" si="40"/>
        <v>-923772.69450088462</v>
      </c>
      <c r="K86" s="18">
        <f t="shared" si="40"/>
        <v>-997902.60208428896</v>
      </c>
      <c r="L86" s="18">
        <f t="shared" si="40"/>
        <v>-1057206.5281510125</v>
      </c>
      <c r="M86" s="16">
        <f>SUM(D86:L86)</f>
        <v>-5681772.3012387753</v>
      </c>
      <c r="N86" t="s">
        <v>210</v>
      </c>
    </row>
    <row r="87" spans="1:15" ht="13.2" x14ac:dyDescent="0.25">
      <c r="A87">
        <f>abitabelid!F154</f>
        <v>1568.1326604181686</v>
      </c>
      <c r="B87" t="s">
        <v>7</v>
      </c>
      <c r="E87" s="18">
        <f t="shared" ref="E87:L87" si="41">$A$87*E13</f>
        <v>47043.979812545062</v>
      </c>
      <c r="F87" s="18">
        <f t="shared" si="41"/>
        <v>243060.56236481614</v>
      </c>
      <c r="G87" s="18">
        <f t="shared" si="41"/>
        <v>313626.53208363371</v>
      </c>
      <c r="H87" s="18">
        <f t="shared" si="41"/>
        <v>412418.88968997833</v>
      </c>
      <c r="I87" s="18">
        <f t="shared" si="41"/>
        <v>470439.79812545056</v>
      </c>
      <c r="J87" s="18">
        <f t="shared" si="41"/>
        <v>508074.98197548662</v>
      </c>
      <c r="K87" s="18">
        <f t="shared" si="41"/>
        <v>548846.43114635895</v>
      </c>
      <c r="L87" s="18">
        <f t="shared" si="41"/>
        <v>581463.59048305696</v>
      </c>
    </row>
    <row r="88" spans="1:15" ht="105.6" x14ac:dyDescent="0.25">
      <c r="A88" t="s">
        <v>211</v>
      </c>
    </row>
    <row r="89" spans="1:15" ht="13.2" x14ac:dyDescent="0.25">
      <c r="A89">
        <f>abitabelid!B177</f>
        <v>83.8</v>
      </c>
      <c r="B89" t="s">
        <v>212</v>
      </c>
      <c r="C89" t="s">
        <v>65</v>
      </c>
      <c r="D89">
        <f>'kütuste tarbimine EE'!C6+'kütuste tarbimine EE'!C7</f>
        <v>29658</v>
      </c>
      <c r="E89">
        <f>'kütuste tarbimine EE'!D6+'kütuste tarbimine EE'!D7</f>
        <v>30505.144790424099</v>
      </c>
      <c r="F89">
        <f>'kütuste tarbimine EE'!E6+'kütuste tarbimine EE'!E7</f>
        <v>26790.915284128507</v>
      </c>
      <c r="G89">
        <f>'kütuste tarbimine EE'!F6+'kütuste tarbimine EE'!F7</f>
        <v>22257.868043989209</v>
      </c>
      <c r="H89">
        <f>'kütuste tarbimine EE'!G6+'kütuste tarbimine EE'!G7</f>
        <v>17724.820803849914</v>
      </c>
      <c r="I89">
        <f>'kütuste tarbimine EE'!H6+'kütuste tarbimine EE'!H7</f>
        <v>14811.297539860303</v>
      </c>
      <c r="J89">
        <f>'kütuste tarbimine EE'!I6+'kütuste tarbimine EE'!I7</f>
        <v>11897.774275870692</v>
      </c>
      <c r="K89">
        <f>'kütuste tarbimine EE'!J6+'kütuste tarbimine EE'!J7</f>
        <v>10441.012643875889</v>
      </c>
      <c r="L89">
        <f>'kütuste tarbimine EE'!K6+'kütuste tarbimine EE'!K7</f>
        <v>6070.727747891473</v>
      </c>
    </row>
    <row r="90" spans="1:15" ht="29.25" customHeight="1" x14ac:dyDescent="0.25">
      <c r="A90" t="s">
        <v>7</v>
      </c>
      <c r="B90" t="s">
        <v>213</v>
      </c>
      <c r="C90" t="s">
        <v>214</v>
      </c>
      <c r="D90" s="84">
        <f t="shared" ref="D90:L90" si="42">D89*$A$89</f>
        <v>2485340.4</v>
      </c>
      <c r="E90" s="84">
        <f t="shared" si="42"/>
        <v>2556331.1334375395</v>
      </c>
      <c r="F90" s="84">
        <f t="shared" si="42"/>
        <v>2245078.7008099686</v>
      </c>
      <c r="G90" s="84">
        <f t="shared" si="42"/>
        <v>1865209.3420862956</v>
      </c>
      <c r="H90" s="84">
        <f t="shared" si="42"/>
        <v>1485339.9833626228</v>
      </c>
      <c r="I90" s="84">
        <f t="shared" si="42"/>
        <v>1241186.7338402933</v>
      </c>
      <c r="J90" s="84">
        <f t="shared" si="42"/>
        <v>997033.48431796394</v>
      </c>
      <c r="K90" s="84">
        <f t="shared" si="42"/>
        <v>874956.85955679941</v>
      </c>
      <c r="L90" s="84">
        <f t="shared" si="42"/>
        <v>508726.98527330544</v>
      </c>
    </row>
    <row r="91" spans="1:15" ht="66" x14ac:dyDescent="0.25">
      <c r="A91" s="6">
        <f>abitabelid!B178</f>
        <v>18</v>
      </c>
      <c r="B91" s="81" t="s">
        <v>215</v>
      </c>
      <c r="C91" s="81" t="s">
        <v>214</v>
      </c>
      <c r="D91" s="5">
        <f t="shared" ref="D91:L91" si="43">$A$91*D20</f>
        <v>0</v>
      </c>
      <c r="E91" s="5">
        <f t="shared" si="43"/>
        <v>19440</v>
      </c>
      <c r="F91" s="5">
        <f t="shared" si="43"/>
        <v>100440</v>
      </c>
      <c r="G91" s="5">
        <f t="shared" si="43"/>
        <v>129600</v>
      </c>
      <c r="H91" s="5">
        <f t="shared" si="43"/>
        <v>170424</v>
      </c>
      <c r="I91" s="5">
        <f t="shared" si="43"/>
        <v>194400</v>
      </c>
      <c r="J91" s="5">
        <f t="shared" si="43"/>
        <v>209952</v>
      </c>
      <c r="K91" s="5">
        <f t="shared" si="43"/>
        <v>226800</v>
      </c>
      <c r="L91" s="5">
        <f t="shared" si="43"/>
        <v>240278.40000000002</v>
      </c>
    </row>
    <row r="92" spans="1:15" ht="13.2" x14ac:dyDescent="0.25">
      <c r="A92" t="s">
        <v>7</v>
      </c>
      <c r="D92" t="s">
        <v>7</v>
      </c>
      <c r="E92">
        <f>((E13*10)*3.6)*A91</f>
        <v>19440</v>
      </c>
    </row>
    <row r="93" spans="1:15" ht="13.2" x14ac:dyDescent="0.25">
      <c r="A93" t="s">
        <v>7</v>
      </c>
      <c r="E93" s="84" t="s">
        <v>7</v>
      </c>
    </row>
    <row r="97" spans="2:11" ht="12.75" customHeight="1" x14ac:dyDescent="0.3">
      <c r="B97" s="89"/>
      <c r="C97" s="90" t="s">
        <v>143</v>
      </c>
      <c r="D97" s="90">
        <v>2015</v>
      </c>
      <c r="E97" s="90">
        <v>2020</v>
      </c>
      <c r="F97" s="90">
        <v>2025</v>
      </c>
      <c r="G97" s="90">
        <v>2030</v>
      </c>
      <c r="H97" s="90">
        <v>2035</v>
      </c>
      <c r="I97" s="90">
        <v>2040</v>
      </c>
      <c r="J97" s="90">
        <v>2045</v>
      </c>
      <c r="K97" s="90">
        <v>2050</v>
      </c>
    </row>
    <row r="98" spans="2:11" ht="12.75" customHeight="1" x14ac:dyDescent="0.3">
      <c r="B98" s="91" t="s">
        <v>586</v>
      </c>
      <c r="C98" s="92" t="s">
        <v>587</v>
      </c>
      <c r="D98" s="92"/>
      <c r="E98" s="92"/>
      <c r="F98" s="92"/>
      <c r="G98" s="92"/>
      <c r="H98" s="92"/>
      <c r="I98" s="92"/>
      <c r="J98" s="92"/>
      <c r="K98" s="92"/>
    </row>
    <row r="99" spans="2:11" ht="12.75" customHeight="1" x14ac:dyDescent="0.3">
      <c r="B99" s="92" t="s">
        <v>588</v>
      </c>
      <c r="C99" s="92" t="s">
        <v>287</v>
      </c>
      <c r="D99" s="92"/>
      <c r="E99" s="92"/>
      <c r="F99" s="92"/>
      <c r="G99" s="92"/>
      <c r="H99" s="92"/>
      <c r="I99" s="92"/>
      <c r="J99" s="92"/>
      <c r="K99" s="92"/>
    </row>
    <row r="100" spans="2:11" ht="12.75" customHeight="1" x14ac:dyDescent="0.3">
      <c r="B100" s="92" t="s">
        <v>589</v>
      </c>
      <c r="C100" s="92" t="s">
        <v>287</v>
      </c>
      <c r="D100" s="92"/>
      <c r="E100" s="92"/>
      <c r="F100" s="92"/>
      <c r="G100" s="92"/>
      <c r="H100" s="92"/>
      <c r="I100" s="92"/>
      <c r="J100" s="92"/>
      <c r="K100" s="92"/>
    </row>
    <row r="101" spans="2:11" ht="12.75" customHeight="1" x14ac:dyDescent="0.3">
      <c r="B101" s="93" t="s">
        <v>590</v>
      </c>
      <c r="C101" s="92" t="s">
        <v>287</v>
      </c>
      <c r="D101" s="92"/>
      <c r="E101" s="92"/>
      <c r="F101" s="92"/>
      <c r="G101" s="92"/>
      <c r="H101" s="92"/>
      <c r="I101" s="92"/>
      <c r="J101" s="92"/>
      <c r="K101" s="92"/>
    </row>
    <row r="102" spans="2:11" ht="12.75" customHeight="1" x14ac:dyDescent="0.3">
      <c r="B102" s="93" t="s">
        <v>591</v>
      </c>
      <c r="C102" s="92" t="s">
        <v>287</v>
      </c>
      <c r="D102" s="92"/>
      <c r="E102" s="92"/>
      <c r="F102" s="92"/>
      <c r="G102" s="92"/>
      <c r="H102" s="92"/>
      <c r="I102" s="92"/>
      <c r="J102" s="92"/>
      <c r="K102" s="92"/>
    </row>
    <row r="103" spans="2:11" ht="12.75" customHeight="1" x14ac:dyDescent="0.3">
      <c r="B103" s="92" t="s">
        <v>592</v>
      </c>
      <c r="C103" s="92" t="s">
        <v>287</v>
      </c>
      <c r="D103" s="92"/>
      <c r="E103" s="92"/>
      <c r="F103" s="92"/>
      <c r="G103" s="92"/>
      <c r="H103" s="92"/>
      <c r="I103" s="92"/>
      <c r="J103" s="92"/>
      <c r="K103" s="92"/>
    </row>
    <row r="104" spans="2:11" ht="12.75" customHeight="1" x14ac:dyDescent="0.3">
      <c r="B104" s="92" t="s">
        <v>189</v>
      </c>
      <c r="C104" s="92"/>
      <c r="D104" s="92"/>
      <c r="E104" s="92"/>
      <c r="F104" s="92"/>
      <c r="G104" s="92"/>
      <c r="H104" s="92"/>
      <c r="I104" s="92"/>
      <c r="J104" s="92"/>
      <c r="K104" s="92"/>
    </row>
    <row r="105" spans="2:11" ht="12.75" customHeight="1" x14ac:dyDescent="0.3">
      <c r="B105" s="93" t="s">
        <v>190</v>
      </c>
      <c r="C105" s="92" t="s">
        <v>287</v>
      </c>
      <c r="D105" s="92"/>
      <c r="E105" s="92"/>
      <c r="F105" s="92"/>
      <c r="G105" s="92"/>
      <c r="H105" s="92"/>
      <c r="I105" s="92"/>
      <c r="J105" s="92"/>
      <c r="K105" s="92"/>
    </row>
    <row r="106" spans="2:11" ht="12.75" customHeight="1" x14ac:dyDescent="0.3">
      <c r="B106" s="93" t="s">
        <v>192</v>
      </c>
      <c r="C106" s="92" t="s">
        <v>287</v>
      </c>
      <c r="D106" s="92"/>
      <c r="E106" s="92"/>
      <c r="F106" s="92"/>
      <c r="G106" s="92"/>
      <c r="H106" s="92"/>
      <c r="I106" s="92"/>
      <c r="J106" s="92"/>
      <c r="K106" s="92"/>
    </row>
    <row r="107" spans="2:11" ht="12.75" customHeight="1" x14ac:dyDescent="0.3">
      <c r="B107" s="92" t="s">
        <v>593</v>
      </c>
      <c r="C107" s="92" t="s">
        <v>287</v>
      </c>
      <c r="D107" s="92"/>
      <c r="E107" s="92"/>
      <c r="F107" s="92"/>
      <c r="G107" s="92"/>
      <c r="H107" s="92"/>
      <c r="I107" s="92"/>
      <c r="J107" s="92"/>
      <c r="K107" s="92"/>
    </row>
    <row r="108" spans="2:11" ht="12.75" customHeight="1" x14ac:dyDescent="0.3">
      <c r="B108" s="92"/>
      <c r="C108" s="92"/>
      <c r="D108" s="92"/>
      <c r="E108" s="92"/>
      <c r="F108" s="92"/>
      <c r="G108" s="92"/>
      <c r="H108" s="92"/>
      <c r="I108" s="92"/>
      <c r="J108" s="92"/>
      <c r="K108" s="92"/>
    </row>
    <row r="109" spans="2:11" ht="12.75" customHeight="1" x14ac:dyDescent="0.3">
      <c r="B109" s="92"/>
      <c r="C109" s="92"/>
      <c r="D109" s="92"/>
      <c r="E109" s="92"/>
      <c r="F109" s="92"/>
      <c r="G109" s="92"/>
      <c r="H109" s="92"/>
      <c r="I109" s="92"/>
      <c r="J109" s="92"/>
      <c r="K109" s="92"/>
    </row>
    <row r="110" spans="2:11" ht="12.75" customHeight="1" x14ac:dyDescent="0.3">
      <c r="B110" s="92" t="s">
        <v>594</v>
      </c>
      <c r="C110" s="92" t="s">
        <v>287</v>
      </c>
      <c r="D110" s="92"/>
      <c r="E110" s="92"/>
      <c r="F110" s="92"/>
      <c r="G110" s="92"/>
      <c r="H110" s="92"/>
      <c r="I110" s="92"/>
      <c r="J110" s="92"/>
      <c r="K110" s="92"/>
    </row>
    <row r="111" spans="2:11" ht="12.75" customHeight="1" x14ac:dyDescent="0.3">
      <c r="B111" s="92" t="s">
        <v>195</v>
      </c>
      <c r="C111" s="92"/>
      <c r="D111" s="92"/>
      <c r="E111" s="92"/>
      <c r="F111" s="92"/>
      <c r="G111" s="92"/>
      <c r="H111" s="92"/>
      <c r="I111" s="92"/>
      <c r="J111" s="92"/>
      <c r="K111" s="92"/>
    </row>
    <row r="112" spans="2:11" ht="12.75" customHeight="1" x14ac:dyDescent="0.3">
      <c r="B112" s="93" t="s">
        <v>595</v>
      </c>
      <c r="C112" s="92" t="s">
        <v>196</v>
      </c>
      <c r="D112" s="92"/>
      <c r="E112" s="92"/>
      <c r="F112" s="92"/>
      <c r="G112" s="92"/>
      <c r="H112" s="92"/>
      <c r="I112" s="92"/>
      <c r="J112" s="92"/>
      <c r="K112" s="92"/>
    </row>
    <row r="113" spans="2:11" ht="12.75" customHeight="1" x14ac:dyDescent="0.3">
      <c r="B113" s="93" t="s">
        <v>596</v>
      </c>
      <c r="C113" s="92" t="s">
        <v>65</v>
      </c>
      <c r="D113" s="92"/>
      <c r="E113" s="92"/>
      <c r="F113" s="92"/>
      <c r="G113" s="92"/>
      <c r="H113" s="92"/>
      <c r="I113" s="92"/>
      <c r="J113" s="92"/>
      <c r="K113" s="92"/>
    </row>
    <row r="114" spans="2:11" ht="12.75" customHeight="1" x14ac:dyDescent="0.3">
      <c r="B114" s="91" t="s">
        <v>597</v>
      </c>
      <c r="C114" s="92" t="s">
        <v>287</v>
      </c>
      <c r="D114" s="92"/>
      <c r="E114" s="92"/>
      <c r="F114" s="92"/>
      <c r="G114" s="92"/>
      <c r="H114" s="92"/>
      <c r="I114" s="92"/>
      <c r="J114" s="92"/>
      <c r="K114" s="92"/>
    </row>
    <row r="115" spans="2:11" ht="12.75" customHeight="1" x14ac:dyDescent="0.3">
      <c r="B115" s="92" t="s">
        <v>598</v>
      </c>
      <c r="C115" s="92" t="s">
        <v>235</v>
      </c>
      <c r="D115" s="92"/>
      <c r="E115" s="92"/>
      <c r="F115" s="92"/>
      <c r="G115" s="92"/>
      <c r="H115" s="92"/>
      <c r="I115" s="92"/>
      <c r="J115" s="92"/>
      <c r="K115" s="92"/>
    </row>
  </sheetData>
  <mergeCells count="1">
    <mergeCell ref="A1:C1"/>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zoomScale="150" zoomScaleNormal="150" zoomScalePageLayoutView="150" workbookViewId="0">
      <selection activeCell="A4" sqref="A4"/>
    </sheetView>
  </sheetViews>
  <sheetFormatPr defaultColWidth="11.5546875" defaultRowHeight="13.2" x14ac:dyDescent="0.25"/>
  <cols>
    <col min="1" max="2" width="18.6640625" customWidth="1"/>
  </cols>
  <sheetData>
    <row r="2" spans="1:3" x14ac:dyDescent="0.25">
      <c r="A2" t="s">
        <v>951</v>
      </c>
      <c r="B2" t="s">
        <v>952</v>
      </c>
    </row>
    <row r="3" spans="1:3" x14ac:dyDescent="0.25">
      <c r="A3" t="s">
        <v>953</v>
      </c>
      <c r="B3" t="s">
        <v>954</v>
      </c>
    </row>
    <row r="4" spans="1:3" ht="26.4" x14ac:dyDescent="0.25">
      <c r="A4" t="s">
        <v>955</v>
      </c>
      <c r="B4" t="s">
        <v>956</v>
      </c>
      <c r="C4" t="s">
        <v>957</v>
      </c>
    </row>
    <row r="6" spans="1:3" ht="26.4" x14ac:dyDescent="0.25">
      <c r="A6" t="s">
        <v>958</v>
      </c>
      <c r="B6" t="s">
        <v>961</v>
      </c>
    </row>
    <row r="8" spans="1:3" ht="26.4" x14ac:dyDescent="0.25">
      <c r="A8" t="s">
        <v>959</v>
      </c>
      <c r="B8" t="s">
        <v>962</v>
      </c>
    </row>
    <row r="9" spans="1:3" ht="26.4" x14ac:dyDescent="0.25">
      <c r="A9" t="s">
        <v>960</v>
      </c>
    </row>
  </sheetData>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10"/>
  <sheetViews>
    <sheetView workbookViewId="0">
      <selection activeCell="K10" sqref="K10"/>
    </sheetView>
  </sheetViews>
  <sheetFormatPr defaultColWidth="8.6640625" defaultRowHeight="13.2" x14ac:dyDescent="0.25"/>
  <cols>
    <col min="1" max="4" width="8.6640625" style="522"/>
    <col min="5" max="5" width="9.77734375" style="522" bestFit="1" customWidth="1"/>
    <col min="6" max="6" width="8.6640625" style="522"/>
    <col min="7" max="7" width="9.44140625" style="522" bestFit="1" customWidth="1"/>
    <col min="8" max="12" width="8.6640625" style="522"/>
    <col min="13" max="13" width="9.33203125" style="522" bestFit="1" customWidth="1"/>
    <col min="14" max="14" width="10" style="522" bestFit="1" customWidth="1"/>
    <col min="15" max="15" width="8.6640625" style="522"/>
    <col min="16" max="16" width="18" style="522" customWidth="1"/>
    <col min="17" max="17" width="19.33203125" style="522" customWidth="1"/>
    <col min="18" max="18" width="10" style="522" bestFit="1" customWidth="1"/>
    <col min="19" max="16384" width="8.6640625" style="522"/>
  </cols>
  <sheetData>
    <row r="1" spans="1:21" x14ac:dyDescent="0.25">
      <c r="A1" s="521" t="s">
        <v>1058</v>
      </c>
    </row>
    <row r="2" spans="1:21" ht="14.4" x14ac:dyDescent="0.3">
      <c r="A2" s="523" t="s">
        <v>1059</v>
      </c>
      <c r="B2" s="523"/>
      <c r="C2" s="523"/>
      <c r="D2" s="523"/>
      <c r="E2" s="523"/>
      <c r="G2" s="974" t="s">
        <v>926</v>
      </c>
      <c r="H2" s="975"/>
      <c r="I2" s="975"/>
      <c r="J2" s="975"/>
      <c r="K2" s="976"/>
      <c r="R2" s="522">
        <v>2010</v>
      </c>
      <c r="S2" s="522">
        <v>2015</v>
      </c>
    </row>
    <row r="3" spans="1:21" ht="14.4" x14ac:dyDescent="0.3">
      <c r="E3" s="524"/>
      <c r="F3" s="525">
        <v>2012</v>
      </c>
      <c r="G3" s="525">
        <v>2015</v>
      </c>
      <c r="H3" s="526">
        <v>2020</v>
      </c>
      <c r="I3" s="526">
        <v>2025</v>
      </c>
      <c r="J3" s="526">
        <v>2030</v>
      </c>
      <c r="K3" s="526">
        <v>2035</v>
      </c>
      <c r="L3" s="525">
        <v>2040</v>
      </c>
      <c r="M3" s="526">
        <v>2045</v>
      </c>
      <c r="N3" s="526">
        <v>2050</v>
      </c>
      <c r="Q3" s="527" t="s">
        <v>1060</v>
      </c>
      <c r="R3" s="528">
        <v>228</v>
      </c>
      <c r="S3" s="528">
        <v>217.90365597825797</v>
      </c>
    </row>
    <row r="4" spans="1:21" s="523" customFormat="1" ht="14.4" x14ac:dyDescent="0.3">
      <c r="A4" s="522"/>
      <c r="B4" s="522"/>
      <c r="C4" s="522"/>
      <c r="D4" s="522"/>
      <c r="E4" s="529" t="s">
        <v>927</v>
      </c>
      <c r="F4" s="525">
        <v>109</v>
      </c>
      <c r="G4" s="525">
        <v>111</v>
      </c>
      <c r="H4" s="530">
        <v>113</v>
      </c>
      <c r="I4" s="530">
        <v>116</v>
      </c>
      <c r="J4" s="530">
        <v>121</v>
      </c>
      <c r="K4" s="530">
        <v>128</v>
      </c>
      <c r="Q4" s="527" t="s">
        <v>277</v>
      </c>
      <c r="R4" s="528">
        <v>10501.152590001275</v>
      </c>
      <c r="S4" s="528">
        <v>12866.21833970031</v>
      </c>
      <c r="T4" s="522"/>
      <c r="U4" s="522"/>
    </row>
    <row r="5" spans="1:21" s="523" customFormat="1" ht="14.4" x14ac:dyDescent="0.3">
      <c r="A5" s="522"/>
      <c r="B5" s="522">
        <v>2012</v>
      </c>
      <c r="C5" s="522"/>
      <c r="D5" s="522"/>
      <c r="E5" s="529" t="s">
        <v>928</v>
      </c>
      <c r="F5" s="531">
        <v>100</v>
      </c>
      <c r="G5" s="532">
        <f>G4*100/$F$4</f>
        <v>101.8348623853211</v>
      </c>
      <c r="H5" s="532">
        <f>H4*100/$F$4</f>
        <v>103.6697247706422</v>
      </c>
      <c r="I5" s="532">
        <f>I4*100/$F$4</f>
        <v>106.42201834862385</v>
      </c>
      <c r="J5" s="532">
        <f>J4*100/$F$4</f>
        <v>111.0091743119266</v>
      </c>
      <c r="K5" s="532">
        <f>K4*100/$F$4</f>
        <v>117.43119266055047</v>
      </c>
      <c r="L5" s="533">
        <v>1.0580000000000001</v>
      </c>
      <c r="M5" s="534">
        <v>1.0580000000000001</v>
      </c>
      <c r="N5" s="534">
        <v>1.0580000000000001</v>
      </c>
      <c r="O5" s="523" t="s">
        <v>1061</v>
      </c>
      <c r="P5" s="522"/>
      <c r="Q5" s="523" t="s">
        <v>278</v>
      </c>
      <c r="R5" s="528">
        <v>19156.987701494523</v>
      </c>
      <c r="S5" s="528">
        <v>20052.235278773434</v>
      </c>
    </row>
    <row r="6" spans="1:21" s="523" customFormat="1" ht="14.4" x14ac:dyDescent="0.3">
      <c r="A6" s="522"/>
      <c r="B6" s="522"/>
      <c r="C6" s="522"/>
      <c r="D6" s="522"/>
      <c r="E6" s="529" t="s">
        <v>933</v>
      </c>
      <c r="F6" s="531"/>
      <c r="G6" s="532">
        <v>100.85470085470087</v>
      </c>
      <c r="H6" s="532">
        <v>101.70940170940172</v>
      </c>
      <c r="I6" s="532">
        <v>102.56410256410257</v>
      </c>
      <c r="J6" s="532">
        <v>105.12820512820514</v>
      </c>
      <c r="K6" s="532">
        <v>108.54700854700856</v>
      </c>
      <c r="L6" s="535">
        <v>1.032</v>
      </c>
      <c r="M6" s="535">
        <v>1.032</v>
      </c>
      <c r="N6" s="535">
        <v>1.032</v>
      </c>
      <c r="O6" s="536"/>
    </row>
    <row r="7" spans="1:21" x14ac:dyDescent="0.25">
      <c r="A7" s="537" t="s">
        <v>938</v>
      </c>
      <c r="B7" s="522">
        <f>B62*J37</f>
        <v>17694.301217600045</v>
      </c>
      <c r="C7" s="522">
        <v>4</v>
      </c>
      <c r="D7" s="522">
        <f>B7*C7</f>
        <v>70777.204870400179</v>
      </c>
      <c r="E7" s="538" t="s">
        <v>938</v>
      </c>
      <c r="F7" s="539">
        <f>B7</f>
        <v>17694.301217600045</v>
      </c>
      <c r="G7" s="539">
        <f>$B$7*G5/100</f>
        <v>18018.967294987204</v>
      </c>
      <c r="H7" s="539">
        <f>$B$7*H5/100</f>
        <v>18343.633372374359</v>
      </c>
      <c r="I7" s="539">
        <f>$B$7*I5/100</f>
        <v>18830.632488455092</v>
      </c>
      <c r="J7" s="539">
        <f>$B$7*J5/100</f>
        <v>19642.297681922984</v>
      </c>
      <c r="K7" s="539">
        <f>$B$7*K5/100</f>
        <v>20778.628952778035</v>
      </c>
      <c r="L7" s="539">
        <f>K7*L5</f>
        <v>21983.789432039164</v>
      </c>
      <c r="M7" s="539">
        <f>L7*M5</f>
        <v>23258.849219097436</v>
      </c>
      <c r="N7" s="539">
        <f>M7*N5</f>
        <v>24607.862473805089</v>
      </c>
      <c r="O7" s="540"/>
      <c r="P7" s="523"/>
      <c r="Q7" s="523"/>
      <c r="R7" s="523"/>
      <c r="S7" s="523" t="s">
        <v>1062</v>
      </c>
      <c r="T7" s="523"/>
      <c r="U7" s="523"/>
    </row>
    <row r="8" spans="1:21" x14ac:dyDescent="0.25">
      <c r="A8" s="537" t="s">
        <v>939</v>
      </c>
      <c r="B8" s="522">
        <f>B68*J38</f>
        <v>18625.730994152018</v>
      </c>
      <c r="C8" s="541">
        <v>6</v>
      </c>
      <c r="D8" s="541">
        <f>B8*C8</f>
        <v>111754.3859649121</v>
      </c>
      <c r="E8" s="538" t="s">
        <v>939</v>
      </c>
      <c r="F8" s="539">
        <f>B8</f>
        <v>18625.730994152018</v>
      </c>
      <c r="G8" s="539">
        <f>$B$8*G5/100</f>
        <v>18967.487526154808</v>
      </c>
      <c r="H8" s="539">
        <f>$B$8*H5/100</f>
        <v>19309.244058157597</v>
      </c>
      <c r="I8" s="539">
        <f>$B$8*I5/100</f>
        <v>19821.87885616178</v>
      </c>
      <c r="J8" s="539">
        <f>$B$8*J5/100</f>
        <v>20676.270186168753</v>
      </c>
      <c r="K8" s="539">
        <f>$B$8*K5/100</f>
        <v>21872.418048178515</v>
      </c>
      <c r="L8" s="539">
        <f>K8*L5</f>
        <v>23141.01829497287</v>
      </c>
      <c r="M8" s="539">
        <f>L8*M5</f>
        <v>24483.197356081298</v>
      </c>
      <c r="N8" s="539">
        <f>M8*N5</f>
        <v>25903.222802734013</v>
      </c>
      <c r="O8" s="540"/>
      <c r="S8" s="527" t="s">
        <v>1060</v>
      </c>
      <c r="T8" s="541">
        <f>(R3*F13)/1000</f>
        <v>5356.6697057196725</v>
      </c>
      <c r="U8" s="522">
        <v>1000</v>
      </c>
    </row>
    <row r="9" spans="1:21" x14ac:dyDescent="0.25">
      <c r="A9" s="527" t="s">
        <v>298</v>
      </c>
      <c r="B9" s="542">
        <f>SUM(D7:D8)/10</f>
        <v>18253.159083531227</v>
      </c>
      <c r="E9" s="543" t="s">
        <v>940</v>
      </c>
      <c r="F9" s="544">
        <v>31000</v>
      </c>
      <c r="G9" s="545">
        <f>$F$9*G5/100</f>
        <v>31568.807339449544</v>
      </c>
      <c r="H9" s="545">
        <f>$F$9*H5/100-H20</f>
        <v>22537.614678899081</v>
      </c>
      <c r="I9" s="545">
        <f>$F$9*I5/100-I20</f>
        <v>23390.82568807339</v>
      </c>
      <c r="J9" s="545">
        <f>$F$9*J5/100-J20</f>
        <v>24812.84403669725</v>
      </c>
      <c r="K9" s="545">
        <f>$F$9*K5/100-K20</f>
        <v>26803.669724770647</v>
      </c>
      <c r="L9" s="539">
        <f>K9*L5</f>
        <v>28358.282568807346</v>
      </c>
      <c r="M9" s="539">
        <f>L9*M5</f>
        <v>30003.062957798174</v>
      </c>
      <c r="N9" s="539">
        <f>M9*N5</f>
        <v>31743.240609350469</v>
      </c>
      <c r="O9" s="540"/>
      <c r="S9" s="527" t="s">
        <v>277</v>
      </c>
      <c r="T9" s="541">
        <f>(R4*B8)/1000</f>
        <v>195591.64326990649</v>
      </c>
    </row>
    <row r="10" spans="1:21" x14ac:dyDescent="0.25">
      <c r="A10" s="527"/>
      <c r="B10" s="542"/>
      <c r="E10" s="543" t="s">
        <v>941</v>
      </c>
      <c r="F10" s="544">
        <f>uus_info!D61*1000</f>
        <v>21127.499999999996</v>
      </c>
      <c r="G10" s="545">
        <f>$F$10*G5/100</f>
        <v>21515.16055045871</v>
      </c>
      <c r="H10" s="545">
        <f t="shared" ref="H10:K10" si="0">$F$10*H5/100</f>
        <v>21902.821100917427</v>
      </c>
      <c r="I10" s="545">
        <f t="shared" si="0"/>
        <v>22484.3119266055</v>
      </c>
      <c r="J10" s="545">
        <f t="shared" si="0"/>
        <v>23453.463302752287</v>
      </c>
      <c r="K10" s="545">
        <f t="shared" si="0"/>
        <v>24810.275229357794</v>
      </c>
      <c r="L10" s="539">
        <f t="shared" ref="L10:N11" si="1">K10*L5</f>
        <v>26249.271192660548</v>
      </c>
      <c r="M10" s="539">
        <f t="shared" si="1"/>
        <v>27771.72892183486</v>
      </c>
      <c r="N10" s="539">
        <f t="shared" si="1"/>
        <v>29382.489199301282</v>
      </c>
      <c r="O10" s="540"/>
      <c r="S10" s="523" t="s">
        <v>278</v>
      </c>
      <c r="T10" s="541">
        <f>(R5*B7)/1000</f>
        <v>338969.51081210363</v>
      </c>
    </row>
    <row r="11" spans="1:21" x14ac:dyDescent="0.25">
      <c r="A11" s="527"/>
      <c r="B11" s="542"/>
      <c r="D11" s="522">
        <f>F11*100/F12</f>
        <v>167.07171416393348</v>
      </c>
      <c r="E11" s="543" t="s">
        <v>13</v>
      </c>
      <c r="F11" s="544">
        <f>Biomet_max!D30*1000</f>
        <v>22316.334933762719</v>
      </c>
      <c r="G11" s="544">
        <f>$F$11*G6/100</f>
        <v>22507.072839179495</v>
      </c>
      <c r="H11" s="544">
        <f t="shared" ref="H11:K11" si="2">$F$11*H6/100</f>
        <v>22697.810744596274</v>
      </c>
      <c r="I11" s="544">
        <f t="shared" si="2"/>
        <v>22888.548650013046</v>
      </c>
      <c r="J11" s="544">
        <f t="shared" si="2"/>
        <v>23460.762366263374</v>
      </c>
      <c r="K11" s="544">
        <f t="shared" si="2"/>
        <v>24223.713987930474</v>
      </c>
      <c r="L11" s="539">
        <f t="shared" si="1"/>
        <v>24998.872835544251</v>
      </c>
      <c r="M11" s="539">
        <f t="shared" si="1"/>
        <v>25798.836766281667</v>
      </c>
      <c r="N11" s="539">
        <f t="shared" si="1"/>
        <v>26624.399542802683</v>
      </c>
      <c r="O11" s="546" t="s">
        <v>1063</v>
      </c>
      <c r="T11" s="541">
        <v>0</v>
      </c>
    </row>
    <row r="12" spans="1:21" x14ac:dyDescent="0.25">
      <c r="A12" s="527"/>
      <c r="C12" s="522">
        <f>B13*100/F12</f>
        <v>79.357124518613617</v>
      </c>
      <c r="E12" s="543" t="s">
        <v>943</v>
      </c>
      <c r="F12" s="547">
        <f>Biomet_max!D33*1000</f>
        <v>13357.338820301782</v>
      </c>
      <c r="G12" s="544">
        <f>$F$12*G6/100</f>
        <v>13471.504109364192</v>
      </c>
      <c r="H12" s="544">
        <f>$F$12*H6/100</f>
        <v>13585.6693984266</v>
      </c>
      <c r="I12" s="544">
        <f>$F$12*I6/100</f>
        <v>13699.834687489009</v>
      </c>
      <c r="J12" s="544">
        <f>$F$12*J6/100</f>
        <v>14042.330554676233</v>
      </c>
      <c r="K12" s="544">
        <f>$F$12*K6/100</f>
        <v>14498.991710925868</v>
      </c>
      <c r="L12" s="544">
        <f>K12*L6</f>
        <v>14962.959445675497</v>
      </c>
      <c r="M12" s="544">
        <f>L12*M6</f>
        <v>15441.774147937113</v>
      </c>
      <c r="N12" s="544">
        <f>M12*N6</f>
        <v>15935.9109206711</v>
      </c>
      <c r="O12" s="540"/>
      <c r="P12" s="522">
        <v>36400</v>
      </c>
      <c r="T12" s="541">
        <v>0</v>
      </c>
    </row>
    <row r="13" spans="1:21" x14ac:dyDescent="0.25">
      <c r="A13" s="527"/>
      <c r="B13" s="522">
        <v>10600</v>
      </c>
      <c r="E13" s="543" t="s">
        <v>276</v>
      </c>
      <c r="F13" s="544">
        <f>B87</f>
        <v>23494.165375963476</v>
      </c>
      <c r="G13" s="544"/>
      <c r="H13" s="544">
        <f t="shared" ref="H13:N13" si="3">C87</f>
        <v>20267.470698023015</v>
      </c>
      <c r="I13" s="544">
        <f t="shared" si="3"/>
        <v>19848.552118424832</v>
      </c>
      <c r="J13" s="544">
        <f t="shared" si="3"/>
        <v>19739.050989941017</v>
      </c>
      <c r="K13" s="544">
        <f t="shared" si="3"/>
        <v>24272.139004358356</v>
      </c>
      <c r="L13" s="544">
        <f t="shared" si="3"/>
        <v>25014.207952950092</v>
      </c>
      <c r="M13" s="544">
        <f t="shared" si="3"/>
        <v>25540.654202335463</v>
      </c>
      <c r="N13" s="544">
        <f t="shared" si="3"/>
        <v>21329.753751590215</v>
      </c>
      <c r="O13" s="540"/>
      <c r="T13" s="541">
        <v>0</v>
      </c>
    </row>
    <row r="14" spans="1:21" x14ac:dyDescent="0.25">
      <c r="E14" s="548" t="s">
        <v>944</v>
      </c>
      <c r="F14" s="549"/>
      <c r="G14" s="549"/>
      <c r="H14" s="549">
        <v>28900</v>
      </c>
      <c r="I14" s="549">
        <v>28900</v>
      </c>
      <c r="J14" s="549">
        <v>28900</v>
      </c>
      <c r="K14" s="549">
        <v>28900</v>
      </c>
      <c r="L14" s="549">
        <v>28900</v>
      </c>
      <c r="M14" s="549">
        <v>28900</v>
      </c>
      <c r="N14" s="549">
        <v>28900</v>
      </c>
      <c r="O14" s="540"/>
      <c r="T14" s="541">
        <v>0</v>
      </c>
    </row>
    <row r="15" spans="1:21" s="550" customFormat="1" ht="14.4" x14ac:dyDescent="0.3">
      <c r="B15" s="523" t="s">
        <v>1064</v>
      </c>
      <c r="C15" s="523"/>
      <c r="F15" s="525">
        <v>2012</v>
      </c>
      <c r="G15" s="525">
        <v>2015</v>
      </c>
      <c r="H15" s="526">
        <v>2020</v>
      </c>
      <c r="I15" s="526">
        <v>2025</v>
      </c>
      <c r="J15" s="526">
        <v>2030</v>
      </c>
      <c r="K15" s="526">
        <v>2035</v>
      </c>
      <c r="L15" s="525">
        <v>2040</v>
      </c>
      <c r="M15" s="526">
        <v>2045</v>
      </c>
      <c r="N15" s="526">
        <v>2050</v>
      </c>
      <c r="O15" s="540"/>
      <c r="P15" s="522"/>
      <c r="Q15" s="522"/>
      <c r="R15" s="522"/>
      <c r="S15" s="522"/>
      <c r="T15" s="541">
        <v>0</v>
      </c>
      <c r="U15" s="522"/>
    </row>
    <row r="16" spans="1:21" x14ac:dyDescent="0.25">
      <c r="A16" s="542" t="s">
        <v>298</v>
      </c>
      <c r="B16" s="542">
        <f>SUM(D17:D18)/10</f>
        <v>11640.305589407621</v>
      </c>
      <c r="C16" s="522">
        <v>11030</v>
      </c>
      <c r="D16" s="522">
        <f>B16*100/C16</f>
        <v>105.53314224304279</v>
      </c>
      <c r="E16" s="551"/>
      <c r="F16" s="552">
        <v>100</v>
      </c>
      <c r="G16" s="552">
        <v>100</v>
      </c>
      <c r="H16" s="552">
        <v>100</v>
      </c>
      <c r="I16" s="552">
        <v>100</v>
      </c>
      <c r="J16" s="552">
        <v>100</v>
      </c>
      <c r="K16" s="552">
        <v>100</v>
      </c>
      <c r="L16" s="552">
        <v>100</v>
      </c>
      <c r="M16" s="552">
        <v>100</v>
      </c>
      <c r="N16" s="552">
        <v>100</v>
      </c>
      <c r="O16" s="540"/>
      <c r="P16" s="523" t="s">
        <v>1065</v>
      </c>
      <c r="Q16" s="550"/>
      <c r="R16" s="550"/>
      <c r="S16" s="553" t="s">
        <v>1066</v>
      </c>
      <c r="T16" s="554">
        <v>0</v>
      </c>
      <c r="U16" s="550"/>
    </row>
    <row r="17" spans="1:20" x14ac:dyDescent="0.25">
      <c r="A17" s="537" t="s">
        <v>938</v>
      </c>
      <c r="B17" s="555">
        <f>B61*J37</f>
        <v>10284.974499834872</v>
      </c>
      <c r="C17" s="541">
        <v>4</v>
      </c>
      <c r="D17" s="541">
        <f>B17*C17</f>
        <v>41139.89799933949</v>
      </c>
      <c r="E17" s="537" t="s">
        <v>938</v>
      </c>
      <c r="F17" s="556">
        <f>B17</f>
        <v>10284.974499834872</v>
      </c>
      <c r="G17" s="556">
        <f>$B$17*G16/100</f>
        <v>10284.974499834872</v>
      </c>
      <c r="H17" s="556">
        <f t="shared" ref="H17:N17" si="4">9600+$P$18*1.4</f>
        <v>11672</v>
      </c>
      <c r="I17" s="556">
        <f t="shared" si="4"/>
        <v>11672</v>
      </c>
      <c r="J17" s="556">
        <f t="shared" si="4"/>
        <v>11672</v>
      </c>
      <c r="K17" s="556">
        <f t="shared" si="4"/>
        <v>11672</v>
      </c>
      <c r="L17" s="556">
        <f t="shared" si="4"/>
        <v>11672</v>
      </c>
      <c r="M17" s="556">
        <f t="shared" si="4"/>
        <v>11672</v>
      </c>
      <c r="N17" s="556">
        <f t="shared" si="4"/>
        <v>11672</v>
      </c>
      <c r="O17" s="540"/>
      <c r="P17" s="537"/>
      <c r="S17" s="527" t="s">
        <v>1060</v>
      </c>
      <c r="T17" s="541">
        <v>0</v>
      </c>
    </row>
    <row r="18" spans="1:20" x14ac:dyDescent="0.25">
      <c r="A18" s="537" t="s">
        <v>939</v>
      </c>
      <c r="B18" s="555">
        <f>J38*B67</f>
        <v>12543.859649122787</v>
      </c>
      <c r="C18" s="541">
        <v>6</v>
      </c>
      <c r="D18" s="541">
        <f>B18*C18</f>
        <v>75263.157894736723</v>
      </c>
      <c r="E18" s="537" t="s">
        <v>939</v>
      </c>
      <c r="F18" s="556">
        <f>B18</f>
        <v>12543.859649122787</v>
      </c>
      <c r="G18" s="556">
        <f>$B$18*G16/100</f>
        <v>12543.859649122787</v>
      </c>
      <c r="H18" s="556">
        <f t="shared" ref="H18:N18" si="5">9600+$P$19*1.4</f>
        <v>11532</v>
      </c>
      <c r="I18" s="556">
        <f t="shared" si="5"/>
        <v>11532</v>
      </c>
      <c r="J18" s="556">
        <f t="shared" si="5"/>
        <v>11532</v>
      </c>
      <c r="K18" s="556">
        <f t="shared" si="5"/>
        <v>11532</v>
      </c>
      <c r="L18" s="556">
        <f t="shared" si="5"/>
        <v>11532</v>
      </c>
      <c r="M18" s="556">
        <f t="shared" si="5"/>
        <v>11532</v>
      </c>
      <c r="N18" s="556">
        <f t="shared" si="5"/>
        <v>11532</v>
      </c>
      <c r="O18" s="541">
        <f>J18+J8</f>
        <v>32208.270186168753</v>
      </c>
      <c r="P18" s="537">
        <v>1480</v>
      </c>
      <c r="S18" s="527" t="s">
        <v>277</v>
      </c>
      <c r="T18" s="541">
        <f>(R4*F18)/1000</f>
        <v>131724.98424299824</v>
      </c>
    </row>
    <row r="19" spans="1:20" x14ac:dyDescent="0.25">
      <c r="A19" s="527" t="s">
        <v>945</v>
      </c>
      <c r="C19" s="555"/>
      <c r="E19" s="537" t="s">
        <v>945</v>
      </c>
      <c r="F19" s="557">
        <v>1</v>
      </c>
      <c r="G19" s="557">
        <v>1</v>
      </c>
      <c r="H19" s="977" t="s">
        <v>946</v>
      </c>
      <c r="I19" s="977"/>
      <c r="J19" s="977"/>
      <c r="K19" s="977"/>
      <c r="L19" s="557"/>
      <c r="M19" s="977"/>
      <c r="N19" s="977"/>
      <c r="P19" s="537">
        <v>1380</v>
      </c>
      <c r="S19" s="523" t="s">
        <v>278</v>
      </c>
      <c r="T19" s="541">
        <f>(R5*F17)/1000</f>
        <v>197029.13000352145</v>
      </c>
    </row>
    <row r="20" spans="1:20" x14ac:dyDescent="0.25">
      <c r="A20" s="537" t="s">
        <v>940</v>
      </c>
      <c r="B20" s="555"/>
      <c r="C20" s="555"/>
      <c r="E20" s="537" t="s">
        <v>940</v>
      </c>
      <c r="F20" s="544">
        <f>B17</f>
        <v>10284.974499834872</v>
      </c>
      <c r="G20" s="544">
        <f>G17</f>
        <v>10284.974499834872</v>
      </c>
      <c r="H20" s="544">
        <v>9600</v>
      </c>
      <c r="I20" s="544">
        <v>9600</v>
      </c>
      <c r="J20" s="544">
        <v>9600</v>
      </c>
      <c r="K20" s="544">
        <v>9600</v>
      </c>
      <c r="L20" s="544">
        <v>9600</v>
      </c>
      <c r="M20" s="544">
        <v>9600</v>
      </c>
      <c r="N20" s="544">
        <v>9600</v>
      </c>
      <c r="P20" s="537"/>
      <c r="T20" s="541">
        <f>SUM(T18:T19)</f>
        <v>328754.11424651969</v>
      </c>
    </row>
    <row r="21" spans="1:20" x14ac:dyDescent="0.25">
      <c r="A21" s="537" t="s">
        <v>941</v>
      </c>
      <c r="B21" s="555"/>
      <c r="C21" s="555"/>
      <c r="E21" s="537" t="s">
        <v>941</v>
      </c>
      <c r="F21" s="544">
        <f>B18</f>
        <v>12543.859649122787</v>
      </c>
      <c r="G21" s="544">
        <f>G18</f>
        <v>12543.859649122787</v>
      </c>
      <c r="H21" s="544">
        <v>9600</v>
      </c>
      <c r="I21" s="544">
        <v>9600</v>
      </c>
      <c r="J21" s="544">
        <v>9600</v>
      </c>
      <c r="K21" s="544">
        <v>9600</v>
      </c>
      <c r="L21" s="544">
        <v>9600</v>
      </c>
      <c r="M21" s="544">
        <v>9600</v>
      </c>
      <c r="N21" s="544">
        <v>9600</v>
      </c>
      <c r="O21" s="541">
        <f>H21+H25</f>
        <v>32700</v>
      </c>
      <c r="P21" s="537"/>
    </row>
    <row r="22" spans="1:20" x14ac:dyDescent="0.25">
      <c r="A22" s="537" t="s">
        <v>942</v>
      </c>
      <c r="B22" s="555"/>
      <c r="C22" s="555"/>
      <c r="E22" s="537" t="s">
        <v>13</v>
      </c>
      <c r="F22" s="524">
        <v>0</v>
      </c>
      <c r="G22" s="524">
        <v>0</v>
      </c>
      <c r="H22" s="524">
        <v>0</v>
      </c>
      <c r="I22" s="524">
        <v>0</v>
      </c>
      <c r="J22" s="524">
        <v>0</v>
      </c>
      <c r="K22" s="524">
        <v>0</v>
      </c>
      <c r="L22" s="524">
        <v>0</v>
      </c>
      <c r="M22" s="524">
        <v>0</v>
      </c>
      <c r="N22" s="524">
        <v>0</v>
      </c>
      <c r="P22" s="537"/>
    </row>
    <row r="23" spans="1:20" x14ac:dyDescent="0.25">
      <c r="A23" s="537" t="s">
        <v>279</v>
      </c>
      <c r="B23" s="555"/>
      <c r="C23" s="555"/>
      <c r="E23" s="537" t="s">
        <v>279</v>
      </c>
      <c r="F23" s="544">
        <v>0</v>
      </c>
      <c r="G23" s="544">
        <v>3000</v>
      </c>
      <c r="H23" s="558">
        <v>5000</v>
      </c>
      <c r="I23" s="558">
        <f t="shared" ref="I23:N23" si="6">9600+$P$24</f>
        <v>10720</v>
      </c>
      <c r="J23" s="558">
        <f t="shared" si="6"/>
        <v>10720</v>
      </c>
      <c r="K23" s="558">
        <f t="shared" si="6"/>
        <v>10720</v>
      </c>
      <c r="L23" s="558">
        <f t="shared" si="6"/>
        <v>10720</v>
      </c>
      <c r="M23" s="558">
        <f t="shared" si="6"/>
        <v>10720</v>
      </c>
      <c r="N23" s="558">
        <f t="shared" si="6"/>
        <v>10720</v>
      </c>
      <c r="P23" s="537"/>
    </row>
    <row r="24" spans="1:20" x14ac:dyDescent="0.25">
      <c r="A24" s="537" t="s">
        <v>276</v>
      </c>
      <c r="B24" s="555"/>
      <c r="C24" s="555"/>
      <c r="E24" s="537" t="s">
        <v>276</v>
      </c>
      <c r="F24" s="559">
        <v>1241.5999999999999</v>
      </c>
      <c r="G24" s="559">
        <v>1241.5999999999999</v>
      </c>
      <c r="H24" s="559">
        <v>1241.5999999999999</v>
      </c>
      <c r="I24" s="559">
        <v>1241.5999999999999</v>
      </c>
      <c r="J24" s="559">
        <v>1241.5999999999999</v>
      </c>
      <c r="K24" s="559">
        <v>1241.5999999999999</v>
      </c>
      <c r="L24" s="559"/>
      <c r="M24" s="559"/>
      <c r="N24" s="559"/>
      <c r="P24" s="537">
        <v>1120</v>
      </c>
    </row>
    <row r="25" spans="1:20" x14ac:dyDescent="0.25">
      <c r="A25" s="537"/>
      <c r="B25" s="555"/>
      <c r="C25" s="555"/>
      <c r="F25" s="560"/>
      <c r="G25" s="555"/>
      <c r="H25" s="522">
        <v>23100</v>
      </c>
      <c r="I25" s="555"/>
      <c r="K25" s="555"/>
      <c r="M25" s="555"/>
      <c r="P25" s="537" t="s">
        <v>1067</v>
      </c>
    </row>
    <row r="26" spans="1:20" s="550" customFormat="1" x14ac:dyDescent="0.25">
      <c r="A26" s="523" t="s">
        <v>1068</v>
      </c>
      <c r="B26" s="561"/>
      <c r="C26" s="561"/>
      <c r="F26" s="562"/>
      <c r="G26" s="561"/>
      <c r="I26" s="561"/>
      <c r="K26" s="561"/>
      <c r="M26" s="561"/>
    </row>
    <row r="27" spans="1:20" x14ac:dyDescent="0.25">
      <c r="B27" s="555"/>
      <c r="C27" s="555"/>
      <c r="E27" s="537" t="s">
        <v>938</v>
      </c>
      <c r="F27" s="560"/>
      <c r="G27" s="555"/>
      <c r="I27" s="563">
        <f t="shared" ref="I27:K28" si="7">I5-H5</f>
        <v>2.7522935779816464</v>
      </c>
      <c r="J27" s="563">
        <f t="shared" si="7"/>
        <v>4.5871559633027488</v>
      </c>
      <c r="K27" s="563">
        <f t="shared" si="7"/>
        <v>6.4220183486238653</v>
      </c>
      <c r="M27" s="555"/>
    </row>
    <row r="28" spans="1:20" x14ac:dyDescent="0.25">
      <c r="B28" s="555"/>
      <c r="C28" s="555"/>
      <c r="E28" s="537" t="s">
        <v>939</v>
      </c>
      <c r="F28" s="560"/>
      <c r="G28" s="555"/>
      <c r="I28" s="563">
        <f t="shared" si="7"/>
        <v>0.85470085470085166</v>
      </c>
      <c r="J28" s="563">
        <f t="shared" si="7"/>
        <v>2.5641025641025692</v>
      </c>
      <c r="K28" s="563">
        <f t="shared" si="7"/>
        <v>3.4188034188034209</v>
      </c>
      <c r="M28" s="555"/>
    </row>
    <row r="29" spans="1:20" x14ac:dyDescent="0.25">
      <c r="B29" s="555"/>
      <c r="C29" s="555"/>
      <c r="E29" s="537" t="s">
        <v>940</v>
      </c>
      <c r="F29" s="560"/>
    </row>
    <row r="30" spans="1:20" x14ac:dyDescent="0.25">
      <c r="B30" s="555"/>
      <c r="C30" s="555"/>
      <c r="E30" s="537" t="s">
        <v>941</v>
      </c>
      <c r="F30" s="560"/>
    </row>
    <row r="31" spans="1:20" x14ac:dyDescent="0.25">
      <c r="B31" s="555"/>
      <c r="C31" s="555"/>
      <c r="E31" s="537" t="s">
        <v>942</v>
      </c>
      <c r="F31" s="560"/>
      <c r="O31" s="522" t="s">
        <v>800</v>
      </c>
    </row>
    <row r="32" spans="1:20" x14ac:dyDescent="0.25">
      <c r="B32" s="555"/>
      <c r="C32" s="555"/>
      <c r="E32" s="537" t="s">
        <v>279</v>
      </c>
      <c r="F32" s="560"/>
    </row>
    <row r="33" spans="1:13" x14ac:dyDescent="0.25">
      <c r="B33" s="555"/>
      <c r="C33" s="555"/>
      <c r="E33" s="537" t="s">
        <v>276</v>
      </c>
      <c r="F33" s="560"/>
    </row>
    <row r="34" spans="1:13" x14ac:dyDescent="0.25">
      <c r="G34" s="564"/>
      <c r="H34" s="564"/>
      <c r="I34" s="564"/>
      <c r="J34" s="564"/>
      <c r="K34" s="564"/>
      <c r="L34" s="564"/>
    </row>
    <row r="35" spans="1:13" s="550" customFormat="1" x14ac:dyDescent="0.25">
      <c r="B35" s="523" t="s">
        <v>1069</v>
      </c>
      <c r="C35" s="523"/>
    </row>
    <row r="36" spans="1:13" x14ac:dyDescent="0.25">
      <c r="B36" s="537" t="s">
        <v>1070</v>
      </c>
      <c r="C36" s="537" t="s">
        <v>1071</v>
      </c>
      <c r="D36" s="537"/>
      <c r="J36" s="537" t="s">
        <v>1072</v>
      </c>
      <c r="K36" s="537" t="s">
        <v>1071</v>
      </c>
      <c r="L36" s="537"/>
      <c r="M36" s="537"/>
    </row>
    <row r="37" spans="1:13" x14ac:dyDescent="0.25">
      <c r="A37" s="537" t="s">
        <v>938</v>
      </c>
      <c r="B37" s="555">
        <f>J37*B59</f>
        <v>35880.830433932737</v>
      </c>
      <c r="C37" s="541">
        <v>4</v>
      </c>
      <c r="D37" s="541">
        <f>B37*C37</f>
        <v>143523.32173573095</v>
      </c>
      <c r="E37" s="541"/>
      <c r="F37" s="541"/>
      <c r="I37" s="537" t="s">
        <v>938</v>
      </c>
      <c r="J37" s="555">
        <v>25906.7367754027</v>
      </c>
      <c r="K37" s="541">
        <v>4</v>
      </c>
      <c r="L37" s="541">
        <f>J37*K37</f>
        <v>103626.9471016108</v>
      </c>
      <c r="M37" s="541"/>
    </row>
    <row r="38" spans="1:13" x14ac:dyDescent="0.25">
      <c r="A38" s="537" t="s">
        <v>939</v>
      </c>
      <c r="B38" s="555">
        <f>B65*J38</f>
        <v>40116.959064327428</v>
      </c>
      <c r="C38" s="541">
        <v>6</v>
      </c>
      <c r="D38" s="541">
        <f>B38*C38</f>
        <v>240701.75438596457</v>
      </c>
      <c r="E38" s="541"/>
      <c r="F38" s="541"/>
      <c r="I38" s="537" t="s">
        <v>939</v>
      </c>
      <c r="J38" s="555">
        <v>29239.766081871301</v>
      </c>
      <c r="K38" s="541">
        <v>6</v>
      </c>
      <c r="L38" s="541">
        <f>J38*K38</f>
        <v>175438.5964912278</v>
      </c>
      <c r="M38" s="541"/>
    </row>
    <row r="39" spans="1:13" x14ac:dyDescent="0.25">
      <c r="B39" s="555">
        <f>SUM(D37:D38)/10</f>
        <v>38422.507612169553</v>
      </c>
      <c r="C39" s="555"/>
      <c r="E39" s="555"/>
      <c r="F39" s="555"/>
      <c r="I39" s="537" t="s">
        <v>1073</v>
      </c>
      <c r="J39" s="541"/>
      <c r="K39" s="541"/>
      <c r="L39" s="555">
        <f>SUM(L37:L38)/10</f>
        <v>27906.554359283859</v>
      </c>
      <c r="M39" s="555"/>
    </row>
    <row r="40" spans="1:13" x14ac:dyDescent="0.25">
      <c r="B40" s="565" t="s">
        <v>1074</v>
      </c>
      <c r="C40" s="566"/>
      <c r="D40" s="566"/>
      <c r="E40" s="566"/>
      <c r="F40" s="541"/>
      <c r="I40" s="567" t="s">
        <v>1075</v>
      </c>
      <c r="J40" s="566"/>
      <c r="K40" s="541"/>
      <c r="L40" s="541"/>
      <c r="M40" s="541"/>
    </row>
    <row r="41" spans="1:13" x14ac:dyDescent="0.25">
      <c r="B41" s="566"/>
      <c r="C41" s="566"/>
      <c r="D41" s="566">
        <f>B39</f>
        <v>38422.507612169553</v>
      </c>
      <c r="E41" s="566"/>
      <c r="F41" s="541"/>
      <c r="G41" s="541"/>
      <c r="H41" s="541"/>
      <c r="I41" s="568"/>
      <c r="J41" s="566">
        <v>27906.55</v>
      </c>
      <c r="K41" s="541"/>
      <c r="L41" s="541"/>
      <c r="M41" s="541"/>
    </row>
    <row r="43" spans="1:13" s="550" customFormat="1" x14ac:dyDescent="0.25">
      <c r="B43" s="523" t="s">
        <v>1076</v>
      </c>
      <c r="C43" s="523"/>
      <c r="D43" s="523"/>
    </row>
    <row r="45" spans="1:13" x14ac:dyDescent="0.25">
      <c r="A45" s="537" t="s">
        <v>938</v>
      </c>
      <c r="B45" s="569">
        <f>SUM(B59-B60)*J37</f>
        <v>29896.374238814715</v>
      </c>
      <c r="C45" s="541">
        <v>4</v>
      </c>
      <c r="D45" s="541">
        <f>B45*C45</f>
        <v>119585.49695525886</v>
      </c>
    </row>
    <row r="46" spans="1:13" x14ac:dyDescent="0.25">
      <c r="A46" s="537" t="s">
        <v>939</v>
      </c>
      <c r="B46" s="569">
        <f>SUM(B65-B66)*J38</f>
        <v>33421.052631578896</v>
      </c>
      <c r="C46" s="541">
        <v>6</v>
      </c>
      <c r="D46" s="541">
        <f>B46*C46</f>
        <v>200526.31578947336</v>
      </c>
    </row>
    <row r="47" spans="1:13" x14ac:dyDescent="0.25">
      <c r="B47" s="569">
        <f>SUM(D45:D46)/10</f>
        <v>32011.181274473223</v>
      </c>
      <c r="C47" s="555"/>
    </row>
    <row r="48" spans="1:13" x14ac:dyDescent="0.25">
      <c r="B48" s="565" t="s">
        <v>1077</v>
      </c>
      <c r="C48" s="566"/>
      <c r="D48" s="566"/>
    </row>
    <row r="50" spans="1:11" s="523" customFormat="1" ht="14.4" x14ac:dyDescent="0.3">
      <c r="A50" s="523" t="s">
        <v>1078</v>
      </c>
      <c r="C50" s="561"/>
      <c r="I50" s="570"/>
      <c r="J50" s="570"/>
      <c r="K50" s="571"/>
    </row>
    <row r="51" spans="1:11" ht="14.4" x14ac:dyDescent="0.3">
      <c r="A51" s="527" t="s">
        <v>938</v>
      </c>
      <c r="C51" s="555"/>
      <c r="I51" s="572"/>
      <c r="J51" s="572"/>
      <c r="K51" s="572"/>
    </row>
    <row r="52" spans="1:11" ht="14.4" x14ac:dyDescent="0.3">
      <c r="A52" s="527" t="s">
        <v>939</v>
      </c>
      <c r="C52" s="555"/>
      <c r="I52" s="572"/>
      <c r="J52" s="572"/>
      <c r="K52" s="572"/>
    </row>
    <row r="53" spans="1:11" ht="14.4" x14ac:dyDescent="0.3">
      <c r="A53" s="527"/>
      <c r="C53" s="555"/>
      <c r="I53" s="572"/>
      <c r="J53" s="572"/>
      <c r="K53" s="572"/>
    </row>
    <row r="54" spans="1:11" ht="14.4" x14ac:dyDescent="0.3">
      <c r="A54" s="527"/>
      <c r="C54" s="555"/>
      <c r="I54" s="572"/>
      <c r="J54" s="572"/>
      <c r="K54" s="572"/>
    </row>
    <row r="55" spans="1:11" ht="14.4" x14ac:dyDescent="0.3">
      <c r="A55" s="527"/>
      <c r="C55" s="555"/>
      <c r="I55" s="572"/>
      <c r="J55" s="572"/>
      <c r="K55" s="572"/>
    </row>
    <row r="57" spans="1:11" x14ac:dyDescent="0.25">
      <c r="A57" s="573" t="s">
        <v>1079</v>
      </c>
      <c r="B57" s="573"/>
      <c r="C57" s="573"/>
      <c r="D57" s="573"/>
      <c r="E57" s="573"/>
      <c r="F57" s="573"/>
      <c r="G57" s="573"/>
      <c r="H57" s="573"/>
    </row>
    <row r="58" spans="1:11" x14ac:dyDescent="0.25">
      <c r="B58" s="537">
        <v>2012</v>
      </c>
      <c r="D58" s="574">
        <v>1.05</v>
      </c>
      <c r="E58" s="537" t="s">
        <v>1080</v>
      </c>
      <c r="F58" s="537" t="s">
        <v>1081</v>
      </c>
      <c r="G58" s="537" t="s">
        <v>1082</v>
      </c>
    </row>
    <row r="59" spans="1:11" x14ac:dyDescent="0.25">
      <c r="A59" s="537" t="s">
        <v>1083</v>
      </c>
      <c r="B59" s="522">
        <v>1.385</v>
      </c>
      <c r="D59" s="575">
        <f>B59*D58</f>
        <v>1.45425</v>
      </c>
      <c r="E59" s="522">
        <f>D59-B59</f>
        <v>6.9250000000000034E-2</v>
      </c>
      <c r="F59" s="575">
        <f>SUM(F60:F63)</f>
        <v>1.4544000000000001</v>
      </c>
    </row>
    <row r="60" spans="1:11" x14ac:dyDescent="0.25">
      <c r="A60" s="527" t="s">
        <v>1084</v>
      </c>
      <c r="B60" s="522">
        <v>0.23100000000000001</v>
      </c>
      <c r="D60" s="575"/>
      <c r="F60" s="575">
        <f>SUM(F61:F63)*0.2</f>
        <v>0.24240000000000006</v>
      </c>
      <c r="G60" s="576"/>
    </row>
    <row r="61" spans="1:11" x14ac:dyDescent="0.25">
      <c r="A61" s="527" t="s">
        <v>1066</v>
      </c>
      <c r="B61" s="522">
        <v>0.39700000000000002</v>
      </c>
      <c r="D61" s="575"/>
      <c r="F61" s="575">
        <v>0.45500000000000002</v>
      </c>
      <c r="G61" s="576">
        <f>F61*100/B61</f>
        <v>114.60957178841309</v>
      </c>
      <c r="I61" s="522">
        <v>0.46625000000000005</v>
      </c>
    </row>
    <row r="62" spans="1:11" x14ac:dyDescent="0.25">
      <c r="A62" s="527" t="s">
        <v>1085</v>
      </c>
      <c r="B62" s="522">
        <v>0.68300000000000005</v>
      </c>
      <c r="D62" s="575"/>
      <c r="F62" s="575">
        <v>0.68300000000000005</v>
      </c>
      <c r="G62" s="576"/>
    </row>
    <row r="63" spans="1:11" x14ac:dyDescent="0.25">
      <c r="A63" s="527" t="s">
        <v>1086</v>
      </c>
      <c r="B63" s="522">
        <v>7.3999999999999996E-2</v>
      </c>
      <c r="C63" s="577">
        <v>0.1</v>
      </c>
      <c r="D63" s="575"/>
      <c r="F63" s="575">
        <v>7.3999999999999996E-2</v>
      </c>
      <c r="G63" s="576"/>
    </row>
    <row r="64" spans="1:11" x14ac:dyDescent="0.25">
      <c r="C64" s="575"/>
      <c r="E64" s="575"/>
      <c r="F64" s="537"/>
    </row>
    <row r="65" spans="1:9" x14ac:dyDescent="0.25">
      <c r="A65" s="537" t="s">
        <v>1087</v>
      </c>
      <c r="B65" s="522">
        <v>1.3720000000000001</v>
      </c>
      <c r="D65" s="575">
        <f>B65*D58</f>
        <v>1.4406000000000001</v>
      </c>
      <c r="E65" s="522">
        <f>D65-B65</f>
        <v>6.8599999999999994E-2</v>
      </c>
      <c r="F65" s="575">
        <f>SUM(F66:F69)</f>
        <v>1.4405999999999999</v>
      </c>
      <c r="G65" s="537">
        <v>105</v>
      </c>
    </row>
    <row r="66" spans="1:9" x14ac:dyDescent="0.25">
      <c r="A66" s="527" t="s">
        <v>1084</v>
      </c>
      <c r="B66" s="522">
        <v>0.22900000000000001</v>
      </c>
      <c r="F66" s="575">
        <f>SUM(F67:F69)*0.2</f>
        <v>0.24009999999999998</v>
      </c>
    </row>
    <row r="67" spans="1:9" x14ac:dyDescent="0.25">
      <c r="A67" s="527" t="s">
        <v>1088</v>
      </c>
      <c r="B67" s="522">
        <v>0.42899999999999999</v>
      </c>
      <c r="F67" s="575">
        <f>0.4865</f>
        <v>0.48649999999999999</v>
      </c>
      <c r="G67" s="576">
        <f>F67*100/B67</f>
        <v>113.4032634032634</v>
      </c>
      <c r="I67" s="522">
        <v>0.49759999999999999</v>
      </c>
    </row>
    <row r="68" spans="1:9" x14ac:dyDescent="0.25">
      <c r="A68" s="527" t="s">
        <v>1085</v>
      </c>
      <c r="B68" s="522">
        <v>0.63700000000000001</v>
      </c>
      <c r="F68" s="575">
        <v>0.63700000000000001</v>
      </c>
    </row>
    <row r="69" spans="1:9" x14ac:dyDescent="0.25">
      <c r="A69" s="527" t="s">
        <v>1089</v>
      </c>
      <c r="B69" s="522">
        <v>7.6999999999999999E-2</v>
      </c>
      <c r="F69" s="575">
        <v>7.6999999999999999E-2</v>
      </c>
    </row>
    <row r="72" spans="1:9" x14ac:dyDescent="0.25">
      <c r="A72" s="550"/>
      <c r="B72" s="550"/>
      <c r="C72" s="550"/>
      <c r="D72" s="550"/>
      <c r="E72" s="550"/>
      <c r="F72" s="550"/>
      <c r="G72" s="550"/>
    </row>
    <row r="73" spans="1:9" x14ac:dyDescent="0.25">
      <c r="F73" s="522">
        <v>1000000</v>
      </c>
    </row>
    <row r="74" spans="1:9" ht="37.799999999999997" x14ac:dyDescent="0.25">
      <c r="D74" s="578" t="s">
        <v>1090</v>
      </c>
      <c r="E74" s="522">
        <v>2.3449999999999999E-2</v>
      </c>
    </row>
    <row r="75" spans="1:9" ht="37.799999999999997" x14ac:dyDescent="0.25">
      <c r="A75" s="527" t="s">
        <v>1091</v>
      </c>
      <c r="B75" s="527" t="s">
        <v>65</v>
      </c>
      <c r="D75" s="578" t="s">
        <v>1092</v>
      </c>
      <c r="E75" s="579">
        <v>35.200000000000003</v>
      </c>
    </row>
    <row r="76" spans="1:9" x14ac:dyDescent="0.25">
      <c r="A76" s="522">
        <v>4.47</v>
      </c>
      <c r="B76" s="522" t="s">
        <v>1093</v>
      </c>
      <c r="D76" s="527" t="s">
        <v>1070</v>
      </c>
      <c r="E76" s="580">
        <f>D80/E80</f>
        <v>666.19318181818176</v>
      </c>
      <c r="F76" s="522">
        <v>20</v>
      </c>
      <c r="G76" s="522">
        <f>E76*F76</f>
        <v>13323.863636363636</v>
      </c>
    </row>
    <row r="77" spans="1:9" x14ac:dyDescent="0.25">
      <c r="A77" s="522">
        <v>1241.5999999999999</v>
      </c>
      <c r="B77" s="522">
        <v>1</v>
      </c>
      <c r="D77" s="527" t="s">
        <v>287</v>
      </c>
      <c r="E77" s="527" t="s">
        <v>1094</v>
      </c>
    </row>
    <row r="78" spans="1:9" x14ac:dyDescent="0.25">
      <c r="D78" s="522">
        <v>2.3449999999999999E-2</v>
      </c>
      <c r="E78" s="522">
        <v>35.200000000000003</v>
      </c>
    </row>
    <row r="79" spans="1:9" x14ac:dyDescent="0.25">
      <c r="D79" s="522">
        <v>2.3449999999999999E-2</v>
      </c>
      <c r="E79" s="522">
        <f>E78/F73</f>
        <v>3.5200000000000002E-5</v>
      </c>
      <c r="F79" s="527" t="s">
        <v>65</v>
      </c>
    </row>
    <row r="80" spans="1:9" x14ac:dyDescent="0.25">
      <c r="D80" s="522">
        <f>D79*F73</f>
        <v>23450</v>
      </c>
      <c r="E80" s="522">
        <f>E79*F73</f>
        <v>35.200000000000003</v>
      </c>
    </row>
    <row r="81" spans="1:9" x14ac:dyDescent="0.25">
      <c r="E81" s="522">
        <v>1</v>
      </c>
    </row>
    <row r="83" spans="1:9" s="550" customFormat="1" x14ac:dyDescent="0.25">
      <c r="A83" s="553" t="s">
        <v>1095</v>
      </c>
    </row>
    <row r="84" spans="1:9" x14ac:dyDescent="0.25">
      <c r="A84" s="522" t="s">
        <v>1096</v>
      </c>
      <c r="B84" s="522" t="s">
        <v>1097</v>
      </c>
      <c r="C84" s="522" t="s">
        <v>1098</v>
      </c>
      <c r="D84" s="522" t="s">
        <v>1099</v>
      </c>
      <c r="E84" s="522" t="s">
        <v>1100</v>
      </c>
      <c r="F84" s="522" t="s">
        <v>1101</v>
      </c>
      <c r="G84" s="522" t="s">
        <v>1102</v>
      </c>
      <c r="H84" s="522" t="s">
        <v>1103</v>
      </c>
      <c r="I84" s="522" t="s">
        <v>1104</v>
      </c>
    </row>
    <row r="85" spans="1:9" x14ac:dyDescent="0.25">
      <c r="A85" s="522" t="s">
        <v>1105</v>
      </c>
      <c r="B85" s="522">
        <v>84.578995353468514</v>
      </c>
      <c r="C85" s="522">
        <v>72.962894512882855</v>
      </c>
      <c r="D85" s="522">
        <v>71.454787626329392</v>
      </c>
      <c r="E85" s="522">
        <v>71.06058356378766</v>
      </c>
      <c r="F85" s="522">
        <v>87.379700415690081</v>
      </c>
      <c r="G85" s="522">
        <v>90.051148630620332</v>
      </c>
      <c r="H85" s="522">
        <v>91.94635512840766</v>
      </c>
      <c r="I85" s="522">
        <v>76.787113505724776</v>
      </c>
    </row>
    <row r="87" spans="1:9" x14ac:dyDescent="0.25">
      <c r="A87" s="522" t="s">
        <v>1070</v>
      </c>
      <c r="B87" s="541">
        <f>B85/$B$90</f>
        <v>23494.165375963476</v>
      </c>
      <c r="C87" s="541">
        <f>C85/$B$90</f>
        <v>20267.470698023015</v>
      </c>
      <c r="D87" s="541">
        <f t="shared" ref="D87:I87" si="8">D85/$B$90</f>
        <v>19848.552118424832</v>
      </c>
      <c r="E87" s="541">
        <f t="shared" si="8"/>
        <v>19739.050989941017</v>
      </c>
      <c r="F87" s="541">
        <f t="shared" si="8"/>
        <v>24272.139004358356</v>
      </c>
      <c r="G87" s="541">
        <f t="shared" si="8"/>
        <v>25014.207952950092</v>
      </c>
      <c r="H87" s="541">
        <f t="shared" si="8"/>
        <v>25540.654202335463</v>
      </c>
      <c r="I87" s="541">
        <f t="shared" si="8"/>
        <v>21329.753751590215</v>
      </c>
    </row>
    <row r="89" spans="1:9" x14ac:dyDescent="0.25">
      <c r="A89" s="527" t="s">
        <v>24</v>
      </c>
      <c r="B89" s="522">
        <v>1</v>
      </c>
      <c r="C89" s="522">
        <f>B85</f>
        <v>84.578995353468514</v>
      </c>
    </row>
    <row r="90" spans="1:9" x14ac:dyDescent="0.25">
      <c r="A90" s="527" t="s">
        <v>65</v>
      </c>
      <c r="B90" s="522">
        <v>3.5999999999999999E-3</v>
      </c>
    </row>
    <row r="91" spans="1:9" s="550" customFormat="1" x14ac:dyDescent="0.25">
      <c r="A91" s="523" t="s">
        <v>1106</v>
      </c>
      <c r="D91" s="523" t="s">
        <v>1107</v>
      </c>
    </row>
    <row r="92" spans="1:9" x14ac:dyDescent="0.25">
      <c r="A92" s="527" t="s">
        <v>12</v>
      </c>
      <c r="B92" s="527" t="s">
        <v>318</v>
      </c>
      <c r="D92" s="527" t="s">
        <v>12</v>
      </c>
    </row>
    <row r="93" spans="1:9" x14ac:dyDescent="0.25">
      <c r="A93" s="522">
        <v>1</v>
      </c>
      <c r="B93" s="522">
        <v>1125</v>
      </c>
      <c r="D93" s="522">
        <v>1</v>
      </c>
      <c r="E93" s="522">
        <f>B95*B93</f>
        <v>450</v>
      </c>
    </row>
    <row r="94" spans="1:9" x14ac:dyDescent="0.25">
      <c r="D94" s="522">
        <v>100000</v>
      </c>
      <c r="E94" s="581">
        <f>D94*E93</f>
        <v>45000000</v>
      </c>
    </row>
    <row r="95" spans="1:9" x14ac:dyDescent="0.25">
      <c r="A95" s="527" t="s">
        <v>1108</v>
      </c>
      <c r="B95" s="522">
        <v>0.4</v>
      </c>
    </row>
    <row r="96" spans="1:9" x14ac:dyDescent="0.25">
      <c r="D96" s="527" t="s">
        <v>1109</v>
      </c>
    </row>
    <row r="98" spans="1:4" x14ac:dyDescent="0.25">
      <c r="A98" s="522">
        <v>100</v>
      </c>
      <c r="B98" s="527" t="s">
        <v>16</v>
      </c>
      <c r="D98" s="527" t="s">
        <v>1110</v>
      </c>
    </row>
    <row r="99" spans="1:4" x14ac:dyDescent="0.25">
      <c r="A99" s="522">
        <v>4186</v>
      </c>
      <c r="B99" s="527" t="s">
        <v>65</v>
      </c>
      <c r="D99" s="522">
        <v>78</v>
      </c>
    </row>
    <row r="100" spans="1:4" x14ac:dyDescent="0.25">
      <c r="A100" s="581">
        <f>A99*D99</f>
        <v>326508</v>
      </c>
      <c r="B100" s="527" t="s">
        <v>1111</v>
      </c>
    </row>
    <row r="101" spans="1:4" x14ac:dyDescent="0.25">
      <c r="A101" s="522">
        <v>20</v>
      </c>
      <c r="B101" s="527" t="s">
        <v>1112</v>
      </c>
    </row>
    <row r="102" spans="1:4" x14ac:dyDescent="0.25">
      <c r="A102" s="581">
        <f>A100*A101</f>
        <v>6530160</v>
      </c>
    </row>
    <row r="104" spans="1:4" x14ac:dyDescent="0.25">
      <c r="A104" s="522" t="s">
        <v>1113</v>
      </c>
    </row>
    <row r="105" spans="1:4" ht="13.8" x14ac:dyDescent="0.25">
      <c r="A105" s="582" t="s">
        <v>1114</v>
      </c>
    </row>
    <row r="107" spans="1:4" x14ac:dyDescent="0.25">
      <c r="A107" s="527" t="s">
        <v>1115</v>
      </c>
      <c r="B107" s="522">
        <v>1</v>
      </c>
    </row>
    <row r="108" spans="1:4" x14ac:dyDescent="0.25">
      <c r="A108" s="527" t="s">
        <v>1094</v>
      </c>
      <c r="B108" s="522">
        <v>53.6</v>
      </c>
      <c r="C108" s="522">
        <v>1</v>
      </c>
    </row>
    <row r="109" spans="1:4" x14ac:dyDescent="0.25">
      <c r="A109" s="527" t="s">
        <v>287</v>
      </c>
      <c r="B109" s="522">
        <v>0.79900000000000004</v>
      </c>
      <c r="C109" s="522">
        <f>B109/B108</f>
        <v>1.4906716417910448E-2</v>
      </c>
    </row>
    <row r="110" spans="1:4" x14ac:dyDescent="0.25">
      <c r="A110" s="527" t="s">
        <v>65</v>
      </c>
      <c r="C110" s="522">
        <f>C109*1000000</f>
        <v>14906.716417910447</v>
      </c>
    </row>
  </sheetData>
  <mergeCells count="3">
    <mergeCell ref="G2:K2"/>
    <mergeCell ref="H19:K19"/>
    <mergeCell ref="M19:N19"/>
  </mergeCell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3"/>
  <sheetViews>
    <sheetView topLeftCell="H1" zoomScale="125" zoomScaleNormal="125" zoomScalePageLayoutView="125" workbookViewId="0">
      <selection activeCell="G44" sqref="G44"/>
    </sheetView>
  </sheetViews>
  <sheetFormatPr defaultColWidth="17.109375" defaultRowHeight="12.75" customHeight="1" outlineLevelRow="1" x14ac:dyDescent="0.25"/>
  <cols>
    <col min="1" max="1" width="12" style="274" customWidth="1"/>
    <col min="2" max="2" width="37.33203125" style="97" customWidth="1"/>
    <col min="3" max="3" width="10.77734375" style="97" customWidth="1"/>
    <col min="4" max="4" width="9.109375" style="97" customWidth="1"/>
    <col min="5" max="5" width="8.44140625" style="97" customWidth="1"/>
    <col min="6" max="6" width="9.109375" style="97" customWidth="1"/>
    <col min="7" max="7" width="8.77734375" style="198" customWidth="1"/>
    <col min="8" max="10" width="8.44140625" style="97" customWidth="1"/>
    <col min="11" max="11" width="8.33203125" style="97" customWidth="1"/>
    <col min="12" max="12" width="10.109375" style="97" customWidth="1"/>
    <col min="13" max="13" width="31.44140625" style="98" customWidth="1"/>
    <col min="14" max="16384" width="17.109375" style="97"/>
  </cols>
  <sheetData>
    <row r="1" spans="1:26" ht="12.75" customHeight="1" x14ac:dyDescent="0.25">
      <c r="B1" s="606"/>
      <c r="C1" s="607" t="s">
        <v>810</v>
      </c>
      <c r="D1" s="608">
        <f>D2/D3</f>
        <v>1</v>
      </c>
      <c r="E1" s="609">
        <f t="shared" ref="E1:L1" si="0">E2/E3</f>
        <v>0.89814814814814814</v>
      </c>
      <c r="F1" s="609">
        <f t="shared" si="0"/>
        <v>0.34767025089605735</v>
      </c>
      <c r="G1" s="609">
        <f t="shared" si="0"/>
        <v>0.54083333333333328</v>
      </c>
      <c r="H1" s="609">
        <f t="shared" si="0"/>
        <v>0.6176594845796366</v>
      </c>
      <c r="I1" s="609">
        <f t="shared" si="0"/>
        <v>0.52314814814814814</v>
      </c>
      <c r="J1" s="609">
        <f t="shared" si="0"/>
        <v>0.46733539094650201</v>
      </c>
      <c r="K1" s="609">
        <f t="shared" si="0"/>
        <v>0.42476190476190484</v>
      </c>
      <c r="L1" s="609">
        <f t="shared" si="0"/>
        <v>0.37868572455951094</v>
      </c>
      <c r="M1" s="252" t="s">
        <v>793</v>
      </c>
    </row>
    <row r="2" spans="1:26" ht="25.5" customHeight="1" x14ac:dyDescent="0.3">
      <c r="A2" s="316" t="s">
        <v>118</v>
      </c>
      <c r="B2" s="610"/>
      <c r="C2" s="611" t="s">
        <v>799</v>
      </c>
      <c r="D2" s="612">
        <v>1</v>
      </c>
      <c r="E2" s="613">
        <f>E17/$D$10/$D$9</f>
        <v>26.944444444444443</v>
      </c>
      <c r="F2" s="613">
        <f t="shared" ref="F2:L2" si="1">F17/$D$10/$D$9</f>
        <v>53.888888888888886</v>
      </c>
      <c r="G2" s="613">
        <f t="shared" si="1"/>
        <v>108.16666666666666</v>
      </c>
      <c r="H2" s="613">
        <f t="shared" si="1"/>
        <v>162.44444444444443</v>
      </c>
      <c r="I2" s="613">
        <f t="shared" si="1"/>
        <v>156.94444444444443</v>
      </c>
      <c r="J2" s="613">
        <f t="shared" si="1"/>
        <v>151.41666666666666</v>
      </c>
      <c r="K2" s="613">
        <f t="shared" si="1"/>
        <v>148.66666666666669</v>
      </c>
      <c r="L2" s="613">
        <f t="shared" si="1"/>
        <v>140.41666666666666</v>
      </c>
      <c r="M2" s="308" t="s">
        <v>792</v>
      </c>
      <c r="Q2" s="97" t="s">
        <v>810</v>
      </c>
      <c r="R2" s="227">
        <v>1</v>
      </c>
      <c r="S2" s="227">
        <v>0.89814814814814814</v>
      </c>
      <c r="T2" s="227">
        <v>0.34767025089605735</v>
      </c>
      <c r="U2" s="227">
        <v>0.54083333333333328</v>
      </c>
      <c r="V2" s="227">
        <v>0.6176594845796366</v>
      </c>
      <c r="W2" s="227">
        <v>0.52314814814814814</v>
      </c>
      <c r="X2" s="227">
        <v>0.46733539094650201</v>
      </c>
      <c r="Y2" s="227">
        <v>0.42476190476190484</v>
      </c>
      <c r="Z2" s="227">
        <v>0.37868572455951094</v>
      </c>
    </row>
    <row r="3" spans="1:26" ht="25.95" customHeight="1" x14ac:dyDescent="0.25">
      <c r="A3" s="274" t="s">
        <v>7</v>
      </c>
      <c r="B3" s="614" t="s">
        <v>216</v>
      </c>
      <c r="C3" s="615" t="s">
        <v>798</v>
      </c>
      <c r="D3" s="616">
        <v>1</v>
      </c>
      <c r="E3" s="617">
        <v>30</v>
      </c>
      <c r="F3" s="617">
        <v>155</v>
      </c>
      <c r="G3" s="617">
        <v>200</v>
      </c>
      <c r="H3" s="617">
        <v>263</v>
      </c>
      <c r="I3" s="617">
        <v>300</v>
      </c>
      <c r="J3" s="617">
        <v>324</v>
      </c>
      <c r="K3" s="617">
        <v>350</v>
      </c>
      <c r="L3" s="617">
        <v>370.8</v>
      </c>
      <c r="M3" s="97"/>
      <c r="Q3" s="97" t="s">
        <v>799</v>
      </c>
      <c r="R3" s="112">
        <v>1</v>
      </c>
      <c r="S3" s="112">
        <v>26.944444444444443</v>
      </c>
      <c r="T3" s="112">
        <v>53.888888888888886</v>
      </c>
      <c r="U3" s="112">
        <v>108.16666666666666</v>
      </c>
      <c r="V3" s="112">
        <v>162.44444444444443</v>
      </c>
      <c r="W3" s="112">
        <v>156.94444444444443</v>
      </c>
      <c r="X3" s="112">
        <v>151.41666666666666</v>
      </c>
      <c r="Y3" s="112">
        <v>148.66666666666669</v>
      </c>
      <c r="Z3" s="112">
        <v>140.41666666666666</v>
      </c>
    </row>
    <row r="4" spans="1:26" ht="12.75" hidden="1" customHeight="1" x14ac:dyDescent="0.25">
      <c r="A4" s="274" t="s">
        <v>7</v>
      </c>
      <c r="B4" s="618" t="s">
        <v>217</v>
      </c>
      <c r="C4" s="615" t="s">
        <v>78</v>
      </c>
      <c r="D4" s="619">
        <v>1</v>
      </c>
      <c r="E4" s="620">
        <f t="shared" ref="E4:L4" si="2">E3-D3</f>
        <v>29</v>
      </c>
      <c r="F4" s="620">
        <f t="shared" si="2"/>
        <v>125</v>
      </c>
      <c r="G4" s="620">
        <f t="shared" si="2"/>
        <v>45</v>
      </c>
      <c r="H4" s="620">
        <f t="shared" si="2"/>
        <v>63</v>
      </c>
      <c r="I4" s="620">
        <f t="shared" si="2"/>
        <v>37</v>
      </c>
      <c r="J4" s="620">
        <f t="shared" si="2"/>
        <v>24</v>
      </c>
      <c r="K4" s="620">
        <f t="shared" si="2"/>
        <v>26</v>
      </c>
      <c r="L4" s="620">
        <f t="shared" si="2"/>
        <v>20.800000000000011</v>
      </c>
      <c r="M4" s="105"/>
      <c r="N4" s="97">
        <f>SUM(D4:L4)</f>
        <v>370.8</v>
      </c>
      <c r="P4" s="97" t="s">
        <v>216</v>
      </c>
      <c r="Q4" s="97" t="s">
        <v>798</v>
      </c>
      <c r="R4" s="97">
        <v>1</v>
      </c>
      <c r="S4" s="97">
        <v>30</v>
      </c>
      <c r="T4" s="97">
        <v>155</v>
      </c>
      <c r="U4" s="97">
        <v>200</v>
      </c>
      <c r="V4" s="97">
        <v>263</v>
      </c>
      <c r="W4" s="97">
        <v>300</v>
      </c>
      <c r="X4" s="97">
        <v>324</v>
      </c>
      <c r="Y4" s="97">
        <v>350</v>
      </c>
      <c r="Z4" s="97">
        <v>370.8</v>
      </c>
    </row>
    <row r="5" spans="1:26" s="454" customFormat="1" ht="12.75" customHeight="1" x14ac:dyDescent="0.25">
      <c r="B5" s="621"/>
      <c r="C5" s="622" t="s">
        <v>602</v>
      </c>
      <c r="D5" s="623">
        <f>D3-D2</f>
        <v>0</v>
      </c>
      <c r="E5" s="623">
        <f t="shared" ref="E5:L5" si="3">E3-E2</f>
        <v>3.0555555555555571</v>
      </c>
      <c r="F5" s="623">
        <f t="shared" si="3"/>
        <v>101.11111111111111</v>
      </c>
      <c r="G5" s="623">
        <f t="shared" si="3"/>
        <v>91.833333333333343</v>
      </c>
      <c r="H5" s="623">
        <f t="shared" si="3"/>
        <v>100.55555555555557</v>
      </c>
      <c r="I5" s="623">
        <f t="shared" si="3"/>
        <v>143.05555555555557</v>
      </c>
      <c r="J5" s="623">
        <f t="shared" si="3"/>
        <v>172.58333333333334</v>
      </c>
      <c r="K5" s="623">
        <f t="shared" si="3"/>
        <v>201.33333333333331</v>
      </c>
      <c r="L5" s="623">
        <f t="shared" si="3"/>
        <v>230.38333333333335</v>
      </c>
      <c r="M5" s="453"/>
      <c r="P5" s="454" t="s">
        <v>217</v>
      </c>
      <c r="Q5" s="454" t="s">
        <v>78</v>
      </c>
      <c r="R5" s="454">
        <v>1</v>
      </c>
      <c r="S5" s="454">
        <v>29</v>
      </c>
      <c r="T5" s="454">
        <v>125</v>
      </c>
      <c r="U5" s="454">
        <v>45</v>
      </c>
      <c r="V5" s="454">
        <v>63</v>
      </c>
      <c r="W5" s="454">
        <v>37</v>
      </c>
      <c r="X5" s="454">
        <v>24</v>
      </c>
      <c r="Y5" s="454">
        <v>26</v>
      </c>
      <c r="Z5" s="454">
        <v>20.800000000000011</v>
      </c>
    </row>
    <row r="6" spans="1:26" ht="13.95" customHeight="1" x14ac:dyDescent="0.25">
      <c r="B6" s="606"/>
      <c r="C6" s="606" t="s">
        <v>143</v>
      </c>
      <c r="D6" s="624">
        <v>2010</v>
      </c>
      <c r="E6" s="625">
        <v>2015</v>
      </c>
      <c r="F6" s="625">
        <v>2020</v>
      </c>
      <c r="G6" s="625">
        <v>2025</v>
      </c>
      <c r="H6" s="625">
        <v>2030</v>
      </c>
      <c r="I6" s="625">
        <v>2035</v>
      </c>
      <c r="J6" s="625">
        <v>2040</v>
      </c>
      <c r="K6" s="625">
        <v>2045</v>
      </c>
      <c r="L6" s="625">
        <v>2050</v>
      </c>
      <c r="M6" s="102"/>
      <c r="Q6" s="97" t="s">
        <v>602</v>
      </c>
      <c r="R6" s="112">
        <v>0</v>
      </c>
      <c r="S6" s="112">
        <v>3.0555555555555571</v>
      </c>
      <c r="T6" s="112">
        <v>101.11111111111111</v>
      </c>
      <c r="U6" s="112">
        <v>91.833333333333343</v>
      </c>
      <c r="V6" s="112">
        <v>100.55555555555557</v>
      </c>
      <c r="W6" s="112">
        <v>143.05555555555557</v>
      </c>
      <c r="X6" s="112">
        <v>172.58333333333334</v>
      </c>
      <c r="Y6" s="112">
        <v>201.33333333333331</v>
      </c>
      <c r="Z6" s="112">
        <v>230.38333333333335</v>
      </c>
    </row>
    <row r="7" spans="1:26" ht="12.75" hidden="1" customHeight="1" x14ac:dyDescent="0.25">
      <c r="B7" s="626" t="s">
        <v>142</v>
      </c>
      <c r="C7" s="606"/>
      <c r="D7" s="606"/>
      <c r="E7" s="606"/>
      <c r="F7" s="606"/>
      <c r="G7" s="606"/>
      <c r="H7" s="606"/>
      <c r="I7" s="606"/>
      <c r="J7" s="606"/>
      <c r="K7" s="606"/>
      <c r="L7" s="606"/>
      <c r="Q7" s="97" t="s">
        <v>143</v>
      </c>
      <c r="R7" s="97">
        <v>2010</v>
      </c>
      <c r="S7" s="97">
        <v>2015</v>
      </c>
      <c r="T7" s="97">
        <v>2020</v>
      </c>
      <c r="U7" s="97">
        <v>2025</v>
      </c>
      <c r="V7" s="97">
        <v>2030</v>
      </c>
      <c r="W7" s="97">
        <v>2035</v>
      </c>
      <c r="X7" s="97">
        <v>2040</v>
      </c>
      <c r="Y7" s="97">
        <v>2045</v>
      </c>
      <c r="Z7" s="97">
        <v>2050</v>
      </c>
    </row>
    <row r="8" spans="1:26" ht="69" hidden="1" customHeight="1" outlineLevel="1" x14ac:dyDescent="0.25">
      <c r="B8" s="606"/>
      <c r="C8" s="606" t="s">
        <v>7</v>
      </c>
      <c r="D8" s="606" t="s">
        <v>134</v>
      </c>
      <c r="E8" s="606" t="s">
        <v>135</v>
      </c>
      <c r="F8" s="606" t="s">
        <v>136</v>
      </c>
      <c r="G8" s="606" t="s">
        <v>137</v>
      </c>
      <c r="H8" s="606"/>
      <c r="I8" s="606"/>
      <c r="J8" s="606"/>
      <c r="K8" s="606"/>
      <c r="L8" s="606"/>
      <c r="P8" s="97" t="s">
        <v>142</v>
      </c>
    </row>
    <row r="9" spans="1:26" ht="12.75" hidden="1" customHeight="1" outlineLevel="1" x14ac:dyDescent="0.25">
      <c r="B9" s="606"/>
      <c r="C9" s="606"/>
      <c r="D9" s="606">
        <v>3.6</v>
      </c>
      <c r="E9" s="606">
        <v>2.3883999999999999E-2</v>
      </c>
      <c r="F9" s="606">
        <v>10</v>
      </c>
      <c r="G9" s="606"/>
      <c r="H9" s="606"/>
      <c r="I9" s="606"/>
      <c r="J9" s="606"/>
      <c r="K9" s="606"/>
      <c r="L9" s="606"/>
      <c r="Q9" s="97" t="s">
        <v>7</v>
      </c>
      <c r="R9" s="97" t="s">
        <v>134</v>
      </c>
      <c r="S9" s="97" t="s">
        <v>135</v>
      </c>
      <c r="T9" s="97" t="s">
        <v>136</v>
      </c>
      <c r="U9" s="97" t="s">
        <v>137</v>
      </c>
    </row>
    <row r="10" spans="1:26" ht="12.75" hidden="1" customHeight="1" outlineLevel="1" x14ac:dyDescent="0.25">
      <c r="B10" s="606" t="s">
        <v>146</v>
      </c>
      <c r="C10" s="606" t="s">
        <v>147</v>
      </c>
      <c r="D10" s="627">
        <f t="shared" ref="D10:L10" si="4">D3*$F$9</f>
        <v>10</v>
      </c>
      <c r="E10" s="627">
        <f t="shared" si="4"/>
        <v>300</v>
      </c>
      <c r="F10" s="627">
        <f t="shared" si="4"/>
        <v>1550</v>
      </c>
      <c r="G10" s="627">
        <f t="shared" si="4"/>
        <v>2000</v>
      </c>
      <c r="H10" s="627">
        <f t="shared" si="4"/>
        <v>2630</v>
      </c>
      <c r="I10" s="627">
        <f t="shared" si="4"/>
        <v>3000</v>
      </c>
      <c r="J10" s="627">
        <f t="shared" si="4"/>
        <v>3240</v>
      </c>
      <c r="K10" s="627">
        <f t="shared" si="4"/>
        <v>3500</v>
      </c>
      <c r="L10" s="627">
        <f t="shared" si="4"/>
        <v>3708</v>
      </c>
      <c r="M10" s="108"/>
      <c r="R10" s="97">
        <v>3.6</v>
      </c>
      <c r="S10" s="97">
        <v>2.3883999999999999E-2</v>
      </c>
      <c r="T10" s="97">
        <v>10</v>
      </c>
    </row>
    <row r="11" spans="1:26" s="298" customFormat="1" ht="12.75" customHeight="1" outlineLevel="1" x14ac:dyDescent="0.25">
      <c r="A11" s="297"/>
      <c r="B11" s="606" t="s">
        <v>146</v>
      </c>
      <c r="C11" s="628" t="s">
        <v>65</v>
      </c>
      <c r="D11" s="627">
        <f>D10*$D$9</f>
        <v>36</v>
      </c>
      <c r="E11" s="627">
        <f>E10*D9</f>
        <v>1080</v>
      </c>
      <c r="F11" s="627">
        <f>F10*$D$9</f>
        <v>5580</v>
      </c>
      <c r="G11" s="627">
        <f t="shared" ref="G11:L11" si="5">G10*$D$9</f>
        <v>7200</v>
      </c>
      <c r="H11" s="627">
        <f t="shared" si="5"/>
        <v>9468</v>
      </c>
      <c r="I11" s="627">
        <f t="shared" si="5"/>
        <v>10800</v>
      </c>
      <c r="J11" s="627">
        <f t="shared" si="5"/>
        <v>11664</v>
      </c>
      <c r="K11" s="627">
        <f t="shared" si="5"/>
        <v>12600</v>
      </c>
      <c r="L11" s="627">
        <f t="shared" si="5"/>
        <v>13348.800000000001</v>
      </c>
      <c r="M11" s="301"/>
      <c r="P11" s="298" t="s">
        <v>146</v>
      </c>
      <c r="Q11" s="298" t="s">
        <v>147</v>
      </c>
      <c r="R11" s="643">
        <v>10</v>
      </c>
      <c r="S11" s="643">
        <v>300</v>
      </c>
      <c r="T11" s="643">
        <v>1550</v>
      </c>
      <c r="U11" s="643">
        <v>2000</v>
      </c>
      <c r="V11" s="643">
        <v>2630</v>
      </c>
      <c r="W11" s="643">
        <v>3000</v>
      </c>
      <c r="X11" s="643">
        <v>3240</v>
      </c>
      <c r="Y11" s="643">
        <v>3500</v>
      </c>
      <c r="Z11" s="643">
        <v>3708</v>
      </c>
    </row>
    <row r="12" spans="1:26" ht="12.75" hidden="1" customHeight="1" outlineLevel="1" x14ac:dyDescent="0.25">
      <c r="B12" s="606" t="s">
        <v>218</v>
      </c>
      <c r="C12" s="629" t="s">
        <v>65</v>
      </c>
      <c r="D12" s="606">
        <f t="shared" ref="D12:L12" si="6">(D4*10)*$D$9</f>
        <v>36</v>
      </c>
      <c r="E12" s="630">
        <f t="shared" si="6"/>
        <v>1044</v>
      </c>
      <c r="F12" s="630">
        <f t="shared" si="6"/>
        <v>4500</v>
      </c>
      <c r="G12" s="630">
        <f t="shared" si="6"/>
        <v>1620</v>
      </c>
      <c r="H12" s="630">
        <f t="shared" si="6"/>
        <v>2268</v>
      </c>
      <c r="I12" s="630">
        <f t="shared" si="6"/>
        <v>1332</v>
      </c>
      <c r="J12" s="630">
        <f t="shared" si="6"/>
        <v>864</v>
      </c>
      <c r="K12" s="630">
        <f t="shared" si="6"/>
        <v>936</v>
      </c>
      <c r="L12" s="630">
        <f t="shared" si="6"/>
        <v>748.80000000000041</v>
      </c>
      <c r="M12" s="113"/>
      <c r="N12" s="97">
        <f>SUM(D12:L12)</f>
        <v>13348.800000000001</v>
      </c>
      <c r="P12" s="97" t="s">
        <v>146</v>
      </c>
      <c r="Q12" s="97" t="s">
        <v>65</v>
      </c>
      <c r="R12" s="112">
        <v>36</v>
      </c>
      <c r="S12" s="112">
        <v>1080</v>
      </c>
      <c r="T12" s="112">
        <v>5580</v>
      </c>
      <c r="U12" s="112">
        <v>7200</v>
      </c>
      <c r="V12" s="112">
        <v>9468</v>
      </c>
      <c r="W12" s="112">
        <v>10800</v>
      </c>
      <c r="X12" s="112">
        <v>11664</v>
      </c>
      <c r="Y12" s="112">
        <v>12600</v>
      </c>
      <c r="Z12" s="112">
        <v>13348.800000000001</v>
      </c>
    </row>
    <row r="13" spans="1:26" ht="26.4" hidden="1" outlineLevel="1" x14ac:dyDescent="0.25">
      <c r="B13" s="606"/>
      <c r="C13" s="631"/>
      <c r="D13" s="606"/>
      <c r="E13" s="630"/>
      <c r="F13" s="630"/>
      <c r="G13" s="630"/>
      <c r="H13" s="630"/>
      <c r="I13" s="630"/>
      <c r="J13" s="630"/>
      <c r="K13" s="630"/>
      <c r="L13" s="630"/>
      <c r="M13" s="113"/>
      <c r="P13" s="97" t="s">
        <v>218</v>
      </c>
      <c r="Q13" s="97" t="s">
        <v>65</v>
      </c>
      <c r="R13" s="97">
        <v>36</v>
      </c>
      <c r="S13" s="112">
        <v>1044</v>
      </c>
      <c r="T13" s="112">
        <v>4500</v>
      </c>
      <c r="U13" s="112">
        <v>1620</v>
      </c>
      <c r="V13" s="112">
        <v>2268</v>
      </c>
      <c r="W13" s="112">
        <v>1332</v>
      </c>
      <c r="X13" s="112">
        <v>864</v>
      </c>
      <c r="Y13" s="112">
        <v>936</v>
      </c>
      <c r="Z13" s="112">
        <v>748.80000000000041</v>
      </c>
    </row>
    <row r="14" spans="1:26" ht="13.2" hidden="1" outlineLevel="1" x14ac:dyDescent="0.25">
      <c r="B14" s="606" t="s">
        <v>146</v>
      </c>
      <c r="C14" s="606" t="s">
        <v>16</v>
      </c>
      <c r="D14" s="632">
        <f t="shared" ref="D14:L14" si="7">D11*$E$9</f>
        <v>0.85982399999999992</v>
      </c>
      <c r="E14" s="630">
        <f t="shared" si="7"/>
        <v>25.794719999999998</v>
      </c>
      <c r="F14" s="630">
        <f t="shared" si="7"/>
        <v>133.27271999999999</v>
      </c>
      <c r="G14" s="630">
        <f t="shared" si="7"/>
        <v>171.9648</v>
      </c>
      <c r="H14" s="630">
        <f t="shared" si="7"/>
        <v>226.133712</v>
      </c>
      <c r="I14" s="630">
        <f t="shared" si="7"/>
        <v>257.94720000000001</v>
      </c>
      <c r="J14" s="630">
        <f t="shared" si="7"/>
        <v>278.58297599999997</v>
      </c>
      <c r="K14" s="630">
        <f t="shared" si="7"/>
        <v>300.9384</v>
      </c>
      <c r="L14" s="630">
        <f t="shared" si="7"/>
        <v>318.8227392</v>
      </c>
      <c r="M14" s="113"/>
      <c r="N14" s="97" t="s">
        <v>129</v>
      </c>
      <c r="O14" s="97" t="s">
        <v>129</v>
      </c>
      <c r="S14" s="112"/>
      <c r="T14" s="112"/>
      <c r="U14" s="112"/>
      <c r="V14" s="112"/>
      <c r="W14" s="112"/>
      <c r="X14" s="112"/>
      <c r="Y14" s="112"/>
      <c r="Z14" s="112"/>
    </row>
    <row r="15" spans="1:26" ht="13.2" hidden="1" outlineLevel="1" x14ac:dyDescent="0.25">
      <c r="B15" s="606"/>
      <c r="C15" s="606"/>
      <c r="D15" s="633"/>
      <c r="E15" s="633"/>
      <c r="F15" s="633">
        <v>92</v>
      </c>
      <c r="G15" s="633"/>
      <c r="H15" s="633"/>
      <c r="I15" s="633"/>
      <c r="J15" s="633"/>
      <c r="K15" s="633"/>
      <c r="L15" s="633"/>
      <c r="M15" s="108"/>
      <c r="N15" s="97" t="s">
        <v>7</v>
      </c>
      <c r="P15" s="97" t="s">
        <v>146</v>
      </c>
      <c r="Q15" s="97" t="s">
        <v>16</v>
      </c>
      <c r="R15" s="115">
        <v>0.85982399999999992</v>
      </c>
      <c r="S15" s="112">
        <v>25.794719999999998</v>
      </c>
      <c r="T15" s="112">
        <v>133.27271999999999</v>
      </c>
      <c r="U15" s="112">
        <v>171.9648</v>
      </c>
      <c r="V15" s="112">
        <v>226.133712</v>
      </c>
      <c r="W15" s="112">
        <v>257.94720000000001</v>
      </c>
      <c r="X15" s="112">
        <v>278.58297599999997</v>
      </c>
      <c r="Y15" s="112">
        <v>300.9384</v>
      </c>
      <c r="Z15" s="112">
        <v>318.8227392</v>
      </c>
    </row>
    <row r="16" spans="1:26" ht="12.75" hidden="1" customHeight="1" x14ac:dyDescent="0.25">
      <c r="B16" s="626" t="s">
        <v>149</v>
      </c>
      <c r="C16" s="606"/>
      <c r="D16" s="633"/>
      <c r="E16" s="633"/>
      <c r="F16" s="633"/>
      <c r="G16" s="633"/>
      <c r="H16" s="633"/>
      <c r="I16" s="633"/>
      <c r="J16" s="633"/>
      <c r="K16" s="633"/>
      <c r="L16" s="633"/>
      <c r="M16" s="108"/>
      <c r="N16" s="97">
        <f>SUM(D16:L16)</f>
        <v>0</v>
      </c>
      <c r="O16" s="97">
        <f>N17*O17</f>
        <v>170800</v>
      </c>
      <c r="R16" s="107"/>
      <c r="S16" s="107"/>
      <c r="T16" s="107">
        <v>92</v>
      </c>
      <c r="U16" s="107"/>
      <c r="V16" s="107"/>
      <c r="W16" s="107"/>
      <c r="X16" s="107"/>
      <c r="Y16" s="107"/>
      <c r="Z16" s="107"/>
    </row>
    <row r="17" spans="1:26" ht="18" customHeight="1" x14ac:dyDescent="0.25">
      <c r="A17" s="387" t="s">
        <v>800</v>
      </c>
      <c r="B17" s="634" t="s">
        <v>603</v>
      </c>
      <c r="C17" s="635" t="s">
        <v>65</v>
      </c>
      <c r="D17" s="636">
        <v>0</v>
      </c>
      <c r="E17" s="636">
        <v>970</v>
      </c>
      <c r="F17" s="636">
        <v>1940</v>
      </c>
      <c r="G17" s="636">
        <v>3894</v>
      </c>
      <c r="H17" s="636">
        <v>5848</v>
      </c>
      <c r="I17" s="636">
        <v>5650</v>
      </c>
      <c r="J17" s="636">
        <v>5451</v>
      </c>
      <c r="K17" s="636">
        <v>5352</v>
      </c>
      <c r="L17" s="636">
        <v>5055</v>
      </c>
      <c r="M17" s="108" t="s">
        <v>599</v>
      </c>
      <c r="N17" s="97">
        <f>SUM(D17:L17)</f>
        <v>34160</v>
      </c>
      <c r="O17" s="97">
        <v>5</v>
      </c>
      <c r="P17" s="97" t="s">
        <v>149</v>
      </c>
      <c r="R17" s="107"/>
      <c r="S17" s="107"/>
      <c r="T17" s="107"/>
      <c r="U17" s="107"/>
      <c r="V17" s="107"/>
      <c r="W17" s="107"/>
      <c r="X17" s="107"/>
      <c r="Y17" s="107"/>
      <c r="Z17" s="107"/>
    </row>
    <row r="18" spans="1:26" ht="13.95" hidden="1" customHeight="1" x14ac:dyDescent="0.25">
      <c r="B18" s="615"/>
      <c r="C18" s="615" t="s">
        <v>16</v>
      </c>
      <c r="D18" s="637">
        <v>0</v>
      </c>
      <c r="E18" s="637">
        <v>23.2</v>
      </c>
      <c r="F18" s="637">
        <v>46.3</v>
      </c>
      <c r="G18" s="637">
        <v>93</v>
      </c>
      <c r="H18" s="637">
        <v>139.69999999999999</v>
      </c>
      <c r="I18" s="637">
        <v>134.9</v>
      </c>
      <c r="J18" s="637">
        <v>130.19999999999999</v>
      </c>
      <c r="K18" s="637">
        <v>127.8</v>
      </c>
      <c r="L18" s="637">
        <v>120.7</v>
      </c>
      <c r="M18" s="108"/>
      <c r="P18" s="97" t="s">
        <v>603</v>
      </c>
      <c r="Q18" s="97" t="s">
        <v>65</v>
      </c>
      <c r="R18" s="107">
        <v>0</v>
      </c>
      <c r="S18" s="107">
        <v>970</v>
      </c>
      <c r="T18" s="107">
        <v>1940</v>
      </c>
      <c r="U18" s="107">
        <v>3894</v>
      </c>
      <c r="V18" s="107">
        <v>5848</v>
      </c>
      <c r="W18" s="107">
        <v>5650</v>
      </c>
      <c r="X18" s="107">
        <v>5451</v>
      </c>
      <c r="Y18" s="107">
        <v>5352</v>
      </c>
      <c r="Z18" s="107">
        <v>5055</v>
      </c>
    </row>
    <row r="19" spans="1:26" ht="13.2" hidden="1" x14ac:dyDescent="0.25">
      <c r="B19" s="615"/>
      <c r="C19" s="615"/>
      <c r="D19" s="637"/>
      <c r="E19" s="637"/>
      <c r="F19" s="637" t="s">
        <v>7</v>
      </c>
      <c r="G19" s="637"/>
      <c r="H19" s="637"/>
      <c r="I19" s="637"/>
      <c r="J19" s="637"/>
      <c r="K19" s="637"/>
      <c r="L19" s="637"/>
      <c r="M19" s="108"/>
      <c r="Q19" s="97" t="s">
        <v>16</v>
      </c>
      <c r="R19" s="107">
        <v>0</v>
      </c>
      <c r="S19" s="107">
        <v>23.2</v>
      </c>
      <c r="T19" s="107">
        <v>46.3</v>
      </c>
      <c r="U19" s="107">
        <v>93</v>
      </c>
      <c r="V19" s="107">
        <v>139.69999999999999</v>
      </c>
      <c r="W19" s="107">
        <v>134.9</v>
      </c>
      <c r="X19" s="107">
        <v>130.19999999999999</v>
      </c>
      <c r="Y19" s="107">
        <v>127.8</v>
      </c>
      <c r="Z19" s="107">
        <v>120.7</v>
      </c>
    </row>
    <row r="20" spans="1:26" ht="12.75" hidden="1" customHeight="1" x14ac:dyDescent="0.25">
      <c r="B20" s="615" t="s">
        <v>151</v>
      </c>
      <c r="C20" s="615" t="s">
        <v>65</v>
      </c>
      <c r="D20" s="638">
        <v>29886</v>
      </c>
      <c r="E20" s="638">
        <v>30550</v>
      </c>
      <c r="F20" s="638">
        <v>31214</v>
      </c>
      <c r="G20" s="638">
        <v>29871</v>
      </c>
      <c r="H20" s="638">
        <v>28528</v>
      </c>
      <c r="I20" s="638">
        <v>25275</v>
      </c>
      <c r="J20" s="638">
        <v>22021</v>
      </c>
      <c r="K20" s="638">
        <v>20395</v>
      </c>
      <c r="L20" s="638">
        <v>15515</v>
      </c>
      <c r="M20" s="113"/>
      <c r="R20" s="107"/>
      <c r="S20" s="107"/>
      <c r="T20" s="107" t="s">
        <v>7</v>
      </c>
      <c r="U20" s="107"/>
      <c r="V20" s="107"/>
      <c r="W20" s="107"/>
      <c r="X20" s="107"/>
      <c r="Y20" s="107"/>
      <c r="Z20" s="107"/>
    </row>
    <row r="21" spans="1:26" ht="12.75" hidden="1" customHeight="1" x14ac:dyDescent="0.25">
      <c r="A21" s="274">
        <f>A28*A35</f>
        <v>0.96299999999999997</v>
      </c>
      <c r="B21" s="615"/>
      <c r="C21" s="615" t="s">
        <v>16</v>
      </c>
      <c r="D21" s="615">
        <v>714</v>
      </c>
      <c r="E21" s="615">
        <v>730</v>
      </c>
      <c r="F21" s="615">
        <v>746</v>
      </c>
      <c r="G21" s="615">
        <v>713</v>
      </c>
      <c r="H21" s="615">
        <v>681</v>
      </c>
      <c r="I21" s="615">
        <v>604</v>
      </c>
      <c r="J21" s="615">
        <v>526</v>
      </c>
      <c r="K21" s="615">
        <v>487</v>
      </c>
      <c r="L21" s="615">
        <v>371</v>
      </c>
      <c r="N21" s="107" t="s">
        <v>7</v>
      </c>
      <c r="P21" s="97" t="s">
        <v>151</v>
      </c>
      <c r="Q21" s="97" t="s">
        <v>65</v>
      </c>
      <c r="R21" s="112">
        <v>29886</v>
      </c>
      <c r="S21" s="112">
        <v>30550</v>
      </c>
      <c r="T21" s="112">
        <v>31214</v>
      </c>
      <c r="U21" s="112">
        <v>29871</v>
      </c>
      <c r="V21" s="112">
        <v>28528</v>
      </c>
      <c r="W21" s="112">
        <v>25275</v>
      </c>
      <c r="X21" s="112">
        <v>22021</v>
      </c>
      <c r="Y21" s="112">
        <v>20395</v>
      </c>
      <c r="Z21" s="112">
        <v>15515</v>
      </c>
    </row>
    <row r="22" spans="1:26" ht="12.75" hidden="1" customHeight="1" x14ac:dyDescent="0.25">
      <c r="A22" s="274">
        <f>A35*A25</f>
        <v>1.3096800000000002</v>
      </c>
      <c r="B22" s="615" t="s">
        <v>153</v>
      </c>
      <c r="C22" s="615" t="s">
        <v>154</v>
      </c>
      <c r="D22" s="639">
        <f t="shared" ref="D22:L22" si="8">D17/D20</f>
        <v>0</v>
      </c>
      <c r="E22" s="639">
        <f t="shared" si="8"/>
        <v>3.1751227495908349E-2</v>
      </c>
      <c r="F22" s="639">
        <f>F17/F20</f>
        <v>6.2151598641635164E-2</v>
      </c>
      <c r="G22" s="639">
        <f t="shared" si="8"/>
        <v>0.13036055036657629</v>
      </c>
      <c r="H22" s="639">
        <f t="shared" si="8"/>
        <v>0.20499158721256311</v>
      </c>
      <c r="I22" s="639">
        <f t="shared" si="8"/>
        <v>0.22354104846686448</v>
      </c>
      <c r="J22" s="639">
        <f t="shared" si="8"/>
        <v>0.24753644248671722</v>
      </c>
      <c r="K22" s="639">
        <f t="shared" si="8"/>
        <v>0.26241725913214026</v>
      </c>
      <c r="L22" s="639">
        <f t="shared" si="8"/>
        <v>0.32581372864969382</v>
      </c>
      <c r="M22" s="117"/>
      <c r="Q22" s="97" t="s">
        <v>16</v>
      </c>
      <c r="R22" s="97">
        <v>714</v>
      </c>
      <c r="S22" s="97">
        <v>730</v>
      </c>
      <c r="T22" s="97">
        <v>746</v>
      </c>
      <c r="U22" s="97">
        <v>713</v>
      </c>
      <c r="V22" s="97">
        <v>681</v>
      </c>
      <c r="W22" s="97">
        <v>604</v>
      </c>
      <c r="X22" s="97">
        <v>526</v>
      </c>
      <c r="Y22" s="97">
        <v>487</v>
      </c>
      <c r="Z22" s="97">
        <v>371</v>
      </c>
    </row>
    <row r="23" spans="1:26" s="454" customFormat="1" ht="12.75" hidden="1" customHeight="1" x14ac:dyDescent="0.25">
      <c r="A23" s="454" t="s">
        <v>908</v>
      </c>
      <c r="B23" s="640" t="s">
        <v>602</v>
      </c>
      <c r="C23" s="640"/>
      <c r="D23" s="641">
        <v>0</v>
      </c>
      <c r="E23" s="641">
        <v>0</v>
      </c>
      <c r="F23" s="641">
        <v>0</v>
      </c>
      <c r="G23" s="641">
        <v>0</v>
      </c>
      <c r="H23" s="641">
        <v>0</v>
      </c>
      <c r="I23" s="641">
        <v>0</v>
      </c>
      <c r="J23" s="641">
        <v>0</v>
      </c>
      <c r="K23" s="641">
        <v>0</v>
      </c>
      <c r="L23" s="641">
        <v>0</v>
      </c>
      <c r="M23" s="468"/>
      <c r="N23" s="454">
        <f>SUM(D23:L23)</f>
        <v>0</v>
      </c>
      <c r="O23" s="454">
        <f>N24*O17</f>
        <v>188084</v>
      </c>
      <c r="P23" s="454" t="s">
        <v>153</v>
      </c>
      <c r="Q23" s="454" t="s">
        <v>154</v>
      </c>
      <c r="R23" s="644">
        <v>0</v>
      </c>
      <c r="S23" s="644">
        <v>3.1751227495908349E-2</v>
      </c>
      <c r="T23" s="644">
        <v>6.2151598641635164E-2</v>
      </c>
      <c r="U23" s="644">
        <v>0.13036055036657629</v>
      </c>
      <c r="V23" s="644">
        <v>0.20499158721256311</v>
      </c>
      <c r="W23" s="644">
        <v>0.22354104846686448</v>
      </c>
      <c r="X23" s="644">
        <v>0.24753644248671722</v>
      </c>
      <c r="Y23" s="644">
        <v>0.26241725913214026</v>
      </c>
      <c r="Z23" s="644">
        <v>0.32581372864969382</v>
      </c>
    </row>
    <row r="24" spans="1:26" s="469" customFormat="1" ht="12.75" customHeight="1" x14ac:dyDescent="0.25">
      <c r="A24" s="469" t="s">
        <v>909</v>
      </c>
      <c r="B24" s="640" t="s">
        <v>811</v>
      </c>
      <c r="C24" s="640" t="s">
        <v>65</v>
      </c>
      <c r="D24" s="641">
        <f t="shared" ref="D24:L24" si="9">D11-D17</f>
        <v>36</v>
      </c>
      <c r="E24" s="641">
        <f t="shared" si="9"/>
        <v>110</v>
      </c>
      <c r="F24" s="641">
        <f t="shared" si="9"/>
        <v>3640</v>
      </c>
      <c r="G24" s="641">
        <f t="shared" si="9"/>
        <v>3306</v>
      </c>
      <c r="H24" s="641">
        <f t="shared" si="9"/>
        <v>3620</v>
      </c>
      <c r="I24" s="641">
        <f t="shared" si="9"/>
        <v>5150</v>
      </c>
      <c r="J24" s="641">
        <f t="shared" si="9"/>
        <v>6213</v>
      </c>
      <c r="K24" s="641">
        <f t="shared" si="9"/>
        <v>7248</v>
      </c>
      <c r="L24" s="641">
        <f t="shared" si="9"/>
        <v>8293.8000000000011</v>
      </c>
      <c r="M24" s="472"/>
      <c r="N24" s="469">
        <f>SUM(D24:L24)</f>
        <v>37616.800000000003</v>
      </c>
      <c r="P24" s="469" t="s">
        <v>602</v>
      </c>
      <c r="R24" s="472">
        <v>0</v>
      </c>
      <c r="S24" s="472">
        <v>0</v>
      </c>
      <c r="T24" s="472">
        <v>0</v>
      </c>
      <c r="U24" s="472">
        <v>0</v>
      </c>
      <c r="V24" s="472">
        <v>0</v>
      </c>
      <c r="W24" s="472">
        <v>0</v>
      </c>
      <c r="X24" s="472">
        <v>0</v>
      </c>
      <c r="Y24" s="472">
        <v>0</v>
      </c>
      <c r="Z24" s="472">
        <v>0</v>
      </c>
    </row>
    <row r="25" spans="1:26" ht="12.75" hidden="1" customHeight="1" x14ac:dyDescent="0.25">
      <c r="A25" s="274">
        <f>A30*A28</f>
        <v>1.0914000000000001</v>
      </c>
      <c r="B25" s="615"/>
      <c r="C25" s="615" t="s">
        <v>16</v>
      </c>
      <c r="D25" s="637">
        <f t="shared" ref="D25:L25" si="10">D24*$E$9</f>
        <v>0.85982399999999992</v>
      </c>
      <c r="E25" s="637">
        <f t="shared" si="10"/>
        <v>2.62724</v>
      </c>
      <c r="F25" s="637">
        <f t="shared" si="10"/>
        <v>86.937759999999997</v>
      </c>
      <c r="G25" s="637">
        <f t="shared" si="10"/>
        <v>78.960504</v>
      </c>
      <c r="H25" s="637">
        <f t="shared" si="10"/>
        <v>86.460079999999991</v>
      </c>
      <c r="I25" s="637">
        <f t="shared" si="10"/>
        <v>123.0026</v>
      </c>
      <c r="J25" s="637">
        <f t="shared" si="10"/>
        <v>148.39129199999999</v>
      </c>
      <c r="K25" s="637">
        <f t="shared" si="10"/>
        <v>173.111232</v>
      </c>
      <c r="L25" s="637">
        <f t="shared" si="10"/>
        <v>198.08911920000003</v>
      </c>
      <c r="M25" s="108"/>
      <c r="O25" s="115" t="s">
        <v>7</v>
      </c>
      <c r="P25" s="97" t="s">
        <v>811</v>
      </c>
      <c r="Q25" s="97" t="s">
        <v>65</v>
      </c>
      <c r="R25" s="107">
        <v>36</v>
      </c>
      <c r="S25" s="107">
        <v>110</v>
      </c>
      <c r="T25" s="107">
        <v>3640</v>
      </c>
      <c r="U25" s="107">
        <v>3306</v>
      </c>
      <c r="V25" s="107">
        <v>3620</v>
      </c>
      <c r="W25" s="107">
        <v>5150</v>
      </c>
      <c r="X25" s="107">
        <v>6213</v>
      </c>
      <c r="Y25" s="107">
        <v>7248</v>
      </c>
      <c r="Z25" s="107">
        <v>8293.8000000000011</v>
      </c>
    </row>
    <row r="26" spans="1:26" ht="12.75" customHeight="1" x14ac:dyDescent="0.25">
      <c r="A26" s="292">
        <f>abitabelid!B201</f>
        <v>0.48086419753086418</v>
      </c>
      <c r="B26" s="640" t="s">
        <v>156</v>
      </c>
      <c r="C26" s="640" t="s">
        <v>154</v>
      </c>
      <c r="D26" s="642">
        <v>0</v>
      </c>
      <c r="E26" s="642">
        <f>E24/E11</f>
        <v>0.10185185185185185</v>
      </c>
      <c r="F26" s="642">
        <f t="shared" ref="F26:L26" si="11">F24/F11</f>
        <v>0.6523297491039427</v>
      </c>
      <c r="G26" s="642">
        <f t="shared" si="11"/>
        <v>0.45916666666666667</v>
      </c>
      <c r="H26" s="642">
        <f t="shared" si="11"/>
        <v>0.38234051542036335</v>
      </c>
      <c r="I26" s="642">
        <f t="shared" si="11"/>
        <v>0.47685185185185186</v>
      </c>
      <c r="J26" s="642">
        <f t="shared" si="11"/>
        <v>0.53266460905349799</v>
      </c>
      <c r="K26" s="642">
        <f t="shared" si="11"/>
        <v>0.57523809523809522</v>
      </c>
      <c r="L26" s="642">
        <f t="shared" si="11"/>
        <v>0.62131427544048912</v>
      </c>
      <c r="M26" s="117"/>
      <c r="N26" s="115">
        <f>D32+N27</f>
        <v>21.069733333333332</v>
      </c>
      <c r="Q26" s="97" t="s">
        <v>16</v>
      </c>
      <c r="R26" s="107">
        <v>0.85982399999999992</v>
      </c>
      <c r="S26" s="107">
        <v>2.62724</v>
      </c>
      <c r="T26" s="107">
        <v>86.937759999999997</v>
      </c>
      <c r="U26" s="107">
        <v>78.960504</v>
      </c>
      <c r="V26" s="107">
        <v>86.460079999999991</v>
      </c>
      <c r="W26" s="107">
        <v>123.0026</v>
      </c>
      <c r="X26" s="107">
        <v>148.39129199999999</v>
      </c>
      <c r="Y26" s="107">
        <v>173.111232</v>
      </c>
      <c r="Z26" s="107">
        <v>198.08911920000003</v>
      </c>
    </row>
    <row r="27" spans="1:26" ht="12.75" hidden="1" customHeight="1" x14ac:dyDescent="0.25">
      <c r="A27" s="319">
        <f>uus_info!C5</f>
        <v>0.1</v>
      </c>
      <c r="B27" s="498" t="s">
        <v>963</v>
      </c>
      <c r="C27" s="336" t="s">
        <v>158</v>
      </c>
      <c r="D27" s="337">
        <f>abitabelid!B308/1000</f>
        <v>28.9</v>
      </c>
      <c r="E27" s="337">
        <f>abitabelid!C308/1000</f>
        <v>29.146999999999998</v>
      </c>
      <c r="F27" s="337">
        <f>abitabelid!D308/1000</f>
        <v>29.393999999999998</v>
      </c>
      <c r="G27" s="337">
        <f>abitabelid!E308/1000</f>
        <v>29.640999999999998</v>
      </c>
      <c r="H27" s="337">
        <f>abitabelid!F308/1000</f>
        <v>30.382000000000001</v>
      </c>
      <c r="I27" s="337">
        <f>abitabelid!G308/1000</f>
        <v>31.37</v>
      </c>
      <c r="J27" s="337">
        <f>abitabelid!H308/1000</f>
        <v>32.374000000000002</v>
      </c>
      <c r="K27" s="337">
        <f>abitabelid!I308/1000</f>
        <v>33.409999999999997</v>
      </c>
      <c r="L27" s="337">
        <f>abitabelid!J308/1000</f>
        <v>34.478999999999999</v>
      </c>
      <c r="M27" s="320"/>
      <c r="N27" s="115">
        <f>N28-D32</f>
        <v>3.7586222222222219</v>
      </c>
      <c r="P27" s="97" t="s">
        <v>156</v>
      </c>
      <c r="Q27" s="97" t="s">
        <v>154</v>
      </c>
      <c r="R27" s="227">
        <v>0</v>
      </c>
      <c r="S27" s="227">
        <v>0.10185185185185185</v>
      </c>
      <c r="T27" s="227">
        <v>0.6523297491039427</v>
      </c>
      <c r="U27" s="227">
        <v>0.45916666666666667</v>
      </c>
      <c r="V27" s="227">
        <v>0.38234051542036335</v>
      </c>
      <c r="W27" s="227">
        <v>0.47685185185185186</v>
      </c>
      <c r="X27" s="227">
        <v>0.53266460905349799</v>
      </c>
      <c r="Y27" s="227">
        <v>0.57523809523809522</v>
      </c>
      <c r="Z27" s="227">
        <v>0.62131427544048912</v>
      </c>
    </row>
    <row r="28" spans="1:26" ht="12.75" hidden="1" customHeight="1" x14ac:dyDescent="0.25">
      <c r="A28" s="296">
        <f>(A61+A27)*1.07</f>
        <v>0.80249999999999999</v>
      </c>
      <c r="B28" s="347" t="s">
        <v>219</v>
      </c>
      <c r="C28" s="474" t="s">
        <v>964</v>
      </c>
      <c r="D28" s="499">
        <f>(D29/10)/3.6</f>
        <v>0.80249999999999999</v>
      </c>
      <c r="E28" s="499">
        <f>E27-D27</f>
        <v>0.24699999999999989</v>
      </c>
      <c r="F28" s="499">
        <f t="shared" ref="F28:L28" si="12">F27-E27</f>
        <v>0.24699999999999989</v>
      </c>
      <c r="G28" s="499">
        <f t="shared" si="12"/>
        <v>0.24699999999999989</v>
      </c>
      <c r="H28" s="499">
        <f t="shared" si="12"/>
        <v>0.74100000000000321</v>
      </c>
      <c r="I28" s="499">
        <f t="shared" si="12"/>
        <v>0.98799999999999955</v>
      </c>
      <c r="J28" s="499">
        <f t="shared" si="12"/>
        <v>1.0040000000000013</v>
      </c>
      <c r="K28" s="499">
        <f t="shared" si="12"/>
        <v>1.0359999999999943</v>
      </c>
      <c r="L28" s="499">
        <f t="shared" si="12"/>
        <v>1.0690000000000026</v>
      </c>
      <c r="M28" s="272" t="s">
        <v>965</v>
      </c>
      <c r="N28" s="97">
        <f>D32/N35</f>
        <v>21.069733333333332</v>
      </c>
    </row>
    <row r="29" spans="1:26" ht="12" customHeight="1" x14ac:dyDescent="0.25">
      <c r="A29" s="274">
        <f>(A28*F9)*D9</f>
        <v>28.89</v>
      </c>
      <c r="B29" s="336" t="s">
        <v>157</v>
      </c>
      <c r="C29" s="467" t="s">
        <v>158</v>
      </c>
      <c r="D29" s="343">
        <f>A29</f>
        <v>28.89</v>
      </c>
      <c r="E29" s="343">
        <f>D29+E28</f>
        <v>29.137</v>
      </c>
      <c r="F29" s="343">
        <f t="shared" ref="F29:L29" si="13">E29+F28</f>
        <v>29.384</v>
      </c>
      <c r="G29" s="343">
        <f t="shared" si="13"/>
        <v>29.631</v>
      </c>
      <c r="H29" s="343">
        <f t="shared" si="13"/>
        <v>30.372000000000003</v>
      </c>
      <c r="I29" s="343">
        <f t="shared" si="13"/>
        <v>31.360000000000003</v>
      </c>
      <c r="J29" s="343">
        <f t="shared" si="13"/>
        <v>32.364000000000004</v>
      </c>
      <c r="K29" s="343">
        <f t="shared" si="13"/>
        <v>33.4</v>
      </c>
      <c r="L29" s="343">
        <f t="shared" si="13"/>
        <v>34.469000000000001</v>
      </c>
      <c r="M29" s="272" t="s">
        <v>800</v>
      </c>
      <c r="N29" s="115">
        <f>D32+N30</f>
        <v>21.069733333333332</v>
      </c>
    </row>
    <row r="30" spans="1:26" ht="25.05" customHeight="1" x14ac:dyDescent="0.25">
      <c r="A30" s="274">
        <v>1.36</v>
      </c>
      <c r="B30" s="336" t="s">
        <v>804</v>
      </c>
      <c r="C30" s="467" t="s">
        <v>158</v>
      </c>
      <c r="D30" s="343">
        <f>D32</f>
        <v>17.31111111111111</v>
      </c>
      <c r="E30" s="343">
        <f>E32*1.2</f>
        <v>21.069733333333332</v>
      </c>
      <c r="F30" s="343">
        <f>F32*1.4</f>
        <v>24.927155555555551</v>
      </c>
      <c r="G30" s="368">
        <f>D30*1.5</f>
        <v>25.966666666666665</v>
      </c>
      <c r="H30" s="355">
        <f>H29</f>
        <v>30.372000000000003</v>
      </c>
      <c r="I30" s="355">
        <f t="shared" ref="I30:L30" si="14">I29</f>
        <v>31.360000000000003</v>
      </c>
      <c r="J30" s="355">
        <f t="shared" si="14"/>
        <v>32.364000000000004</v>
      </c>
      <c r="K30" s="355">
        <f t="shared" si="14"/>
        <v>33.4</v>
      </c>
      <c r="L30" s="355">
        <f t="shared" si="14"/>
        <v>34.469000000000001</v>
      </c>
      <c r="M30" s="108"/>
      <c r="N30" s="97">
        <f>E30*E45</f>
        <v>3.7586222222222214</v>
      </c>
    </row>
    <row r="31" spans="1:26" ht="12.75" hidden="1" customHeight="1" x14ac:dyDescent="0.25">
      <c r="A31" s="275">
        <f>(D31/10)/3.6</f>
        <v>0.29472222222222222</v>
      </c>
      <c r="B31" s="344" t="s">
        <v>784</v>
      </c>
      <c r="C31" s="344" t="s">
        <v>158</v>
      </c>
      <c r="D31" s="345">
        <v>10.61</v>
      </c>
      <c r="E31" s="346">
        <v>10.14</v>
      </c>
      <c r="F31" s="346">
        <f>E31</f>
        <v>10.14</v>
      </c>
      <c r="G31" s="369">
        <f t="shared" ref="G31:L31" si="15">F31</f>
        <v>10.14</v>
      </c>
      <c r="H31" s="346">
        <f t="shared" si="15"/>
        <v>10.14</v>
      </c>
      <c r="I31" s="346">
        <f t="shared" si="15"/>
        <v>10.14</v>
      </c>
      <c r="J31" s="346">
        <f t="shared" si="15"/>
        <v>10.14</v>
      </c>
      <c r="K31" s="346">
        <f t="shared" si="15"/>
        <v>10.14</v>
      </c>
      <c r="L31" s="346">
        <f t="shared" si="15"/>
        <v>10.14</v>
      </c>
      <c r="M31" s="175">
        <f>F31/E31-1</f>
        <v>0</v>
      </c>
      <c r="N31" s="97">
        <f>D30*E45</f>
        <v>3.0881229431908759</v>
      </c>
    </row>
    <row r="32" spans="1:26" ht="12.75" hidden="1" customHeight="1" x14ac:dyDescent="0.25">
      <c r="A32" s="292">
        <f>A26*10*3.6</f>
        <v>17.31111111111111</v>
      </c>
      <c r="B32" s="347" t="s">
        <v>785</v>
      </c>
      <c r="C32" s="336" t="s">
        <v>158</v>
      </c>
      <c r="D32" s="348">
        <f>A32</f>
        <v>17.31111111111111</v>
      </c>
      <c r="E32" s="348">
        <f>D32+E28</f>
        <v>17.55811111111111</v>
      </c>
      <c r="F32" s="348">
        <f>E32+F28</f>
        <v>17.80511111111111</v>
      </c>
      <c r="G32" s="348">
        <f t="shared" ref="G32:L32" si="16">F32+G28</f>
        <v>18.05211111111111</v>
      </c>
      <c r="H32" s="348">
        <f t="shared" si="16"/>
        <v>18.793111111111113</v>
      </c>
      <c r="I32" s="348">
        <f t="shared" si="16"/>
        <v>19.781111111111112</v>
      </c>
      <c r="J32" s="348">
        <f t="shared" si="16"/>
        <v>20.785111111111114</v>
      </c>
      <c r="K32" s="348">
        <f t="shared" si="16"/>
        <v>21.821111111111108</v>
      </c>
      <c r="L32" s="348">
        <f t="shared" si="16"/>
        <v>22.890111111111111</v>
      </c>
      <c r="M32" s="380" t="s">
        <v>328</v>
      </c>
      <c r="N32" s="115">
        <f>N31+D32</f>
        <v>20.399234054301985</v>
      </c>
    </row>
    <row r="33" spans="1:21" ht="12.75" hidden="1" customHeight="1" x14ac:dyDescent="0.25">
      <c r="B33" s="336" t="s">
        <v>161</v>
      </c>
      <c r="C33" s="336" t="s">
        <v>158</v>
      </c>
      <c r="D33" s="336"/>
      <c r="E33" s="337">
        <v>18.018999999999998</v>
      </c>
      <c r="F33" s="337">
        <v>18.344000000000001</v>
      </c>
      <c r="G33" s="363">
        <v>18.831</v>
      </c>
      <c r="H33" s="337">
        <v>19.641999999999999</v>
      </c>
      <c r="I33" s="337">
        <v>20.779</v>
      </c>
      <c r="J33" s="337">
        <v>21.593</v>
      </c>
      <c r="K33" s="337">
        <v>22.407</v>
      </c>
      <c r="L33" s="337">
        <v>23.22</v>
      </c>
      <c r="M33" s="108"/>
      <c r="N33" s="97">
        <f>E30*F45</f>
        <v>3.2604946599365361</v>
      </c>
      <c r="O33" s="97" t="s">
        <v>152</v>
      </c>
    </row>
    <row r="34" spans="1:21" ht="12.75" hidden="1" customHeight="1" x14ac:dyDescent="0.25">
      <c r="A34" s="275">
        <f>((E34/1000)/10)/3.6</f>
        <v>0.49558333333333332</v>
      </c>
      <c r="B34" s="336" t="s">
        <v>162</v>
      </c>
      <c r="C34" s="336" t="s">
        <v>163</v>
      </c>
      <c r="D34" s="336"/>
      <c r="E34" s="338">
        <v>17841</v>
      </c>
      <c r="F34" s="338">
        <v>17992</v>
      </c>
      <c r="G34" s="364">
        <v>18143</v>
      </c>
      <c r="H34" s="338">
        <v>18597</v>
      </c>
      <c r="I34" s="338">
        <v>19201</v>
      </c>
      <c r="J34" s="338">
        <v>19661</v>
      </c>
      <c r="K34" s="338">
        <v>20121</v>
      </c>
      <c r="L34" s="338">
        <v>20581</v>
      </c>
      <c r="M34" s="113"/>
      <c r="N34" s="107">
        <f>N33+E30</f>
        <v>24.330227993269869</v>
      </c>
      <c r="O34" s="97">
        <v>37710</v>
      </c>
    </row>
    <row r="35" spans="1:21" s="252" customFormat="1" ht="12" customHeight="1" x14ac:dyDescent="0.25">
      <c r="A35" s="248">
        <v>1.2</v>
      </c>
      <c r="B35" s="350" t="s">
        <v>947</v>
      </c>
      <c r="C35" s="350" t="s">
        <v>158</v>
      </c>
      <c r="D35" s="356">
        <f>D30-D32</f>
        <v>0</v>
      </c>
      <c r="E35" s="356">
        <f>E30-E32</f>
        <v>3.511622222222222</v>
      </c>
      <c r="F35" s="356">
        <f t="shared" ref="F35:L35" si="17">F30-F32</f>
        <v>7.1220444444444411</v>
      </c>
      <c r="G35" s="356">
        <f t="shared" si="17"/>
        <v>7.9145555555555553</v>
      </c>
      <c r="H35" s="356">
        <f t="shared" si="17"/>
        <v>11.578888888888891</v>
      </c>
      <c r="I35" s="356">
        <f t="shared" si="17"/>
        <v>11.578888888888891</v>
      </c>
      <c r="J35" s="356">
        <f t="shared" si="17"/>
        <v>11.578888888888891</v>
      </c>
      <c r="K35" s="356">
        <f t="shared" si="17"/>
        <v>11.578888888888891</v>
      </c>
      <c r="L35" s="356">
        <f t="shared" si="17"/>
        <v>11.578888888888891</v>
      </c>
      <c r="M35" s="379"/>
      <c r="N35" s="252">
        <f>D30/E30</f>
        <v>0.82161035629834478</v>
      </c>
    </row>
    <row r="36" spans="1:21" ht="25.05" customHeight="1" x14ac:dyDescent="0.25">
      <c r="A36" s="340" t="s">
        <v>604</v>
      </c>
      <c r="B36" s="252" t="s">
        <v>975</v>
      </c>
      <c r="C36" s="350" t="s">
        <v>158</v>
      </c>
      <c r="D36" s="342">
        <f t="shared" ref="D36:L36" si="18">D29-D30</f>
        <v>11.578888888888891</v>
      </c>
      <c r="E36" s="342">
        <f>E29-E30</f>
        <v>8.0672666666666686</v>
      </c>
      <c r="F36" s="342">
        <f t="shared" si="18"/>
        <v>4.4568444444444495</v>
      </c>
      <c r="G36" s="367">
        <f t="shared" si="18"/>
        <v>3.6643333333333352</v>
      </c>
      <c r="H36" s="337">
        <f t="shared" si="18"/>
        <v>0</v>
      </c>
      <c r="I36" s="337">
        <f t="shared" si="18"/>
        <v>0</v>
      </c>
      <c r="J36" s="337">
        <f t="shared" si="18"/>
        <v>0</v>
      </c>
      <c r="K36" s="337">
        <f t="shared" si="18"/>
        <v>0</v>
      </c>
      <c r="L36" s="337">
        <f t="shared" si="18"/>
        <v>0</v>
      </c>
      <c r="M36" s="113"/>
      <c r="N36" s="97">
        <f>1-N35</f>
        <v>0.17838964370165522</v>
      </c>
    </row>
    <row r="37" spans="1:21" ht="12.75" customHeight="1" x14ac:dyDescent="0.25">
      <c r="B37" s="347" t="s">
        <v>890</v>
      </c>
      <c r="C37" s="336" t="str">
        <f>C38</f>
        <v>M€/a</v>
      </c>
      <c r="D37" s="349">
        <f>D35*'kütuste tarbimine EE'!C8/1000</f>
        <v>0</v>
      </c>
      <c r="E37" s="349">
        <f>E35*'kütuste tarbimine EE'!D8/1000</f>
        <v>1.1911828032510505</v>
      </c>
      <c r="F37" s="349">
        <f>F35*'kütuste tarbimine EE'!E8/1000</f>
        <v>7.3729535832151134</v>
      </c>
      <c r="G37" s="349">
        <f>G35*'kütuste tarbimine EE'!F8/1000</f>
        <v>15.222523312610095</v>
      </c>
      <c r="H37" s="349">
        <f>H35*'kütuste tarbimine EE'!G8/1000</f>
        <v>32.553883535548337</v>
      </c>
      <c r="I37" s="349">
        <f>I35*'kütuste tarbimine EE'!H8/1000</f>
        <v>29.263689484278135</v>
      </c>
      <c r="J37" s="349">
        <f>J35*'kütuste tarbimine EE'!I8/1000</f>
        <v>25.973495433007937</v>
      </c>
      <c r="K37" s="349">
        <f>K35*'kütuste tarbimine EE'!J8/1000</f>
        <v>24.328398407372841</v>
      </c>
      <c r="L37" s="349">
        <f>L35*'kütuste tarbimine EE'!K8/1000</f>
        <v>19.393107330467547</v>
      </c>
      <c r="M37" s="97"/>
    </row>
    <row r="38" spans="1:21" s="252" customFormat="1" ht="22.95" customHeight="1" x14ac:dyDescent="0.25">
      <c r="A38" s="353">
        <f>D38+E38+F38+G38</f>
        <v>30.740440888888905</v>
      </c>
      <c r="B38" s="388" t="s">
        <v>828</v>
      </c>
      <c r="C38" s="388" t="s">
        <v>166</v>
      </c>
      <c r="D38" s="389">
        <f>(D36/1000)*D17</f>
        <v>0</v>
      </c>
      <c r="E38" s="389">
        <f>(E36/1000)*E17</f>
        <v>7.8252486666666679</v>
      </c>
      <c r="F38" s="389">
        <f t="shared" ref="F38:G38" si="19">(F36/1000)*F17</f>
        <v>8.6462782222222323</v>
      </c>
      <c r="G38" s="370">
        <f t="shared" si="19"/>
        <v>14.268914000000008</v>
      </c>
      <c r="H38" s="390">
        <f>(H36/1000)*H17</f>
        <v>0</v>
      </c>
      <c r="I38" s="390">
        <f t="shared" ref="I38:L38" si="20">(I36/1000)*I17</f>
        <v>0</v>
      </c>
      <c r="J38" s="390">
        <f t="shared" si="20"/>
        <v>0</v>
      </c>
      <c r="K38" s="390">
        <f t="shared" si="20"/>
        <v>0</v>
      </c>
      <c r="L38" s="390">
        <f t="shared" si="20"/>
        <v>0</v>
      </c>
      <c r="M38" s="331" t="s">
        <v>606</v>
      </c>
      <c r="N38" s="353">
        <f>SUM(D38:L38)</f>
        <v>30.740440888888905</v>
      </c>
    </row>
    <row r="39" spans="1:21" s="385" customFormat="1" ht="12.75" customHeight="1" x14ac:dyDescent="0.25">
      <c r="B39" s="381" t="s">
        <v>790</v>
      </c>
      <c r="C39" s="382" t="s">
        <v>166</v>
      </c>
      <c r="D39" s="383">
        <f>(D23*D37)/1000</f>
        <v>0</v>
      </c>
      <c r="E39" s="383">
        <f t="shared" ref="E39:L39" si="21">(E23*E37)/1000</f>
        <v>0</v>
      </c>
      <c r="F39" s="383">
        <f t="shared" si="21"/>
        <v>0</v>
      </c>
      <c r="G39" s="383">
        <f t="shared" si="21"/>
        <v>0</v>
      </c>
      <c r="H39" s="383">
        <f t="shared" si="21"/>
        <v>0</v>
      </c>
      <c r="I39" s="383">
        <f t="shared" si="21"/>
        <v>0</v>
      </c>
      <c r="J39" s="383">
        <f t="shared" si="21"/>
        <v>0</v>
      </c>
      <c r="K39" s="383">
        <f t="shared" si="21"/>
        <v>0</v>
      </c>
      <c r="L39" s="383">
        <f t="shared" si="21"/>
        <v>0</v>
      </c>
      <c r="M39" s="384"/>
    </row>
    <row r="40" spans="1:21" s="385" customFormat="1" ht="12.75" customHeight="1" x14ac:dyDescent="0.25">
      <c r="A40" s="477">
        <f>D40+E40+F40+G40</f>
        <v>121.86820399999999</v>
      </c>
      <c r="B40" s="381"/>
      <c r="C40" s="382"/>
      <c r="D40" s="476">
        <f>D32*D17/1000</f>
        <v>0</v>
      </c>
      <c r="E40" s="476">
        <f>E32*E17/1000</f>
        <v>17.031367777777778</v>
      </c>
      <c r="F40" s="476">
        <f t="shared" ref="F40:G40" si="22">F32*F17/1000</f>
        <v>34.541915555555555</v>
      </c>
      <c r="G40" s="476">
        <f t="shared" si="22"/>
        <v>70.294920666666656</v>
      </c>
      <c r="H40" s="386"/>
      <c r="I40" s="386"/>
      <c r="J40" s="386"/>
      <c r="K40" s="386"/>
      <c r="L40" s="386"/>
      <c r="M40" s="385" t="s">
        <v>925</v>
      </c>
    </row>
    <row r="41" spans="1:21" ht="12.75" customHeight="1" x14ac:dyDescent="0.25">
      <c r="A41" s="477">
        <f>D41+E41+F41+G41</f>
        <v>-37.345396000000029</v>
      </c>
      <c r="B41" s="498" t="s">
        <v>976</v>
      </c>
      <c r="C41" s="336"/>
      <c r="D41" s="337">
        <f>D40-D44</f>
        <v>0</v>
      </c>
      <c r="E41" s="337">
        <f t="shared" ref="E41:G41" si="23">E40-E44</f>
        <v>-5.6666322222222263</v>
      </c>
      <c r="F41" s="337">
        <f t="shared" si="23"/>
        <v>-10.854084444444453</v>
      </c>
      <c r="G41" s="337">
        <f t="shared" si="23"/>
        <v>-20.82467933333335</v>
      </c>
      <c r="H41" s="337"/>
      <c r="I41" s="337"/>
      <c r="J41" s="337"/>
      <c r="K41" s="337"/>
      <c r="L41" s="337"/>
      <c r="M41" s="478" t="s">
        <v>924</v>
      </c>
    </row>
    <row r="42" spans="1:21" ht="12.75" customHeight="1" x14ac:dyDescent="0.25">
      <c r="A42" s="274">
        <v>0.90900000000000003</v>
      </c>
      <c r="B42" s="475" t="s">
        <v>914</v>
      </c>
      <c r="C42" s="467" t="s">
        <v>169</v>
      </c>
      <c r="D42" s="343">
        <f>(D29*D24)/1000</f>
        <v>1.0400399999999999</v>
      </c>
      <c r="E42" s="343">
        <f t="shared" ref="E42:L42" si="24">(E29*E24)/1000</f>
        <v>3.2050700000000001</v>
      </c>
      <c r="F42" s="343">
        <f t="shared" si="24"/>
        <v>106.95775999999999</v>
      </c>
      <c r="G42" s="343">
        <f t="shared" si="24"/>
        <v>97.96008599999999</v>
      </c>
      <c r="H42" s="343">
        <f t="shared" si="24"/>
        <v>109.94664000000002</v>
      </c>
      <c r="I42" s="343">
        <f t="shared" si="24"/>
        <v>161.50400000000002</v>
      </c>
      <c r="J42" s="343">
        <f t="shared" si="24"/>
        <v>201.07753200000005</v>
      </c>
      <c r="K42" s="343">
        <f t="shared" si="24"/>
        <v>242.08319999999998</v>
      </c>
      <c r="L42" s="343">
        <f t="shared" si="24"/>
        <v>285.87899220000003</v>
      </c>
      <c r="M42" s="302" t="s">
        <v>913</v>
      </c>
    </row>
    <row r="43" spans="1:21" ht="34.049999999999997" customHeight="1" x14ac:dyDescent="0.25">
      <c r="A43" s="274" t="s">
        <v>912</v>
      </c>
      <c r="B43" s="475" t="s">
        <v>977</v>
      </c>
      <c r="C43" s="491" t="s">
        <v>169</v>
      </c>
      <c r="D43" s="492">
        <f>(D30*D17)/1000</f>
        <v>0</v>
      </c>
      <c r="E43" s="492">
        <f>(E30*E17)/1000</f>
        <v>20.437641333333332</v>
      </c>
      <c r="F43" s="492">
        <f>(F30*F17)/1000</f>
        <v>48.358681777777768</v>
      </c>
      <c r="G43" s="492">
        <f t="shared" ref="G43:L43" si="25">(G30*G17)/1000</f>
        <v>101.1142</v>
      </c>
      <c r="H43" s="492">
        <f t="shared" si="25"/>
        <v>177.61545599999999</v>
      </c>
      <c r="I43" s="492">
        <f t="shared" si="25"/>
        <v>177.18400000000003</v>
      </c>
      <c r="J43" s="492">
        <f t="shared" si="25"/>
        <v>176.41616400000001</v>
      </c>
      <c r="K43" s="492">
        <f t="shared" si="25"/>
        <v>178.7568</v>
      </c>
      <c r="L43" s="492">
        <f t="shared" si="25"/>
        <v>174.24079500000002</v>
      </c>
      <c r="M43" s="108" t="s">
        <v>607</v>
      </c>
    </row>
    <row r="44" spans="1:21" s="252" customFormat="1" ht="52.05" customHeight="1" x14ac:dyDescent="0.25">
      <c r="A44" s="406">
        <f>A61</f>
        <v>0.65</v>
      </c>
      <c r="B44" s="403" t="s">
        <v>982</v>
      </c>
      <c r="C44" s="404" t="s">
        <v>169</v>
      </c>
      <c r="D44" s="405">
        <f>(D17*$A$46)/1000</f>
        <v>0</v>
      </c>
      <c r="E44" s="405">
        <f>(E17*$A$46)/1000</f>
        <v>22.698000000000004</v>
      </c>
      <c r="F44" s="405">
        <f t="shared" ref="F44:L44" si="26">(F17*$A$46)/1000</f>
        <v>45.396000000000008</v>
      </c>
      <c r="G44" s="405">
        <f t="shared" si="26"/>
        <v>91.119600000000005</v>
      </c>
      <c r="H44" s="405">
        <f t="shared" si="26"/>
        <v>136.84320000000002</v>
      </c>
      <c r="I44" s="405">
        <f t="shared" si="26"/>
        <v>132.21</v>
      </c>
      <c r="J44" s="405">
        <f t="shared" si="26"/>
        <v>127.55340000000001</v>
      </c>
      <c r="K44" s="405">
        <f t="shared" si="26"/>
        <v>125.23680000000002</v>
      </c>
      <c r="L44" s="405">
        <f t="shared" si="26"/>
        <v>118.28700000000002</v>
      </c>
      <c r="M44" s="272"/>
    </row>
    <row r="45" spans="1:21" ht="12" customHeight="1" x14ac:dyDescent="0.25">
      <c r="B45" s="305" t="s">
        <v>805</v>
      </c>
      <c r="C45" s="293" t="s">
        <v>154</v>
      </c>
      <c r="D45" s="302"/>
      <c r="E45" s="332">
        <f>1-(D30/E30)</f>
        <v>0.17838964370165522</v>
      </c>
      <c r="F45" s="332">
        <f t="shared" ref="F45:H45" si="27">1-(E30/F30)</f>
        <v>0.15474778955926682</v>
      </c>
      <c r="G45" s="371">
        <f t="shared" si="27"/>
        <v>4.0032520325203325E-2</v>
      </c>
      <c r="H45" s="332">
        <f t="shared" si="27"/>
        <v>0.14504587558716375</v>
      </c>
      <c r="I45" s="302"/>
      <c r="J45" s="302"/>
      <c r="K45" s="302"/>
      <c r="L45" s="302"/>
      <c r="M45" s="108"/>
    </row>
    <row r="46" spans="1:21" ht="43.95" customHeight="1" x14ac:dyDescent="0.25">
      <c r="A46" s="277">
        <f>A44*F9*D9</f>
        <v>23.400000000000002</v>
      </c>
      <c r="B46" s="265" t="s">
        <v>978</v>
      </c>
      <c r="C46" s="186" t="s">
        <v>169</v>
      </c>
      <c r="D46" s="187">
        <f>D43+D38</f>
        <v>0</v>
      </c>
      <c r="E46" s="187">
        <f>E43+E38</f>
        <v>28.262889999999999</v>
      </c>
      <c r="F46" s="187">
        <f t="shared" ref="F46:L46" si="28">F43+F38</f>
        <v>57.004959999999997</v>
      </c>
      <c r="G46" s="187">
        <f t="shared" si="28"/>
        <v>115.38311400000001</v>
      </c>
      <c r="H46" s="187">
        <f t="shared" si="28"/>
        <v>177.61545599999999</v>
      </c>
      <c r="I46" s="187">
        <f t="shared" si="28"/>
        <v>177.18400000000003</v>
      </c>
      <c r="J46" s="187">
        <f t="shared" si="28"/>
        <v>176.41616400000001</v>
      </c>
      <c r="K46" s="187">
        <f t="shared" si="28"/>
        <v>178.7568</v>
      </c>
      <c r="L46" s="187">
        <f t="shared" si="28"/>
        <v>174.24079500000002</v>
      </c>
      <c r="M46" s="123"/>
      <c r="S46" s="119"/>
      <c r="T46" s="119"/>
      <c r="U46" s="119"/>
    </row>
    <row r="47" spans="1:21" ht="40.049999999999997" customHeight="1" outlineLevel="1" x14ac:dyDescent="0.25">
      <c r="B47" s="169" t="s">
        <v>950</v>
      </c>
      <c r="C47" s="120" t="s">
        <v>169</v>
      </c>
      <c r="D47" s="493">
        <f>(D38+D44)+D42+D39</f>
        <v>1.0400399999999999</v>
      </c>
      <c r="E47" s="107">
        <f>(E38+E44)</f>
        <v>30.523248666666671</v>
      </c>
      <c r="F47" s="107">
        <f t="shared" ref="F47:L47" si="29">(F38+F44)</f>
        <v>54.042278222222237</v>
      </c>
      <c r="G47" s="107">
        <f t="shared" si="29"/>
        <v>105.38851400000001</v>
      </c>
      <c r="H47" s="107">
        <f t="shared" si="29"/>
        <v>136.84320000000002</v>
      </c>
      <c r="I47" s="107">
        <f t="shared" si="29"/>
        <v>132.21</v>
      </c>
      <c r="J47" s="107">
        <f t="shared" si="29"/>
        <v>127.55340000000001</v>
      </c>
      <c r="K47" s="107">
        <f t="shared" si="29"/>
        <v>125.23680000000002</v>
      </c>
      <c r="L47" s="107">
        <f t="shared" si="29"/>
        <v>118.28700000000002</v>
      </c>
      <c r="M47" s="108"/>
      <c r="Q47" s="97" t="s">
        <v>7</v>
      </c>
    </row>
    <row r="48" spans="1:21" ht="25.95" customHeight="1" outlineLevel="1" x14ac:dyDescent="0.3">
      <c r="B48" s="505" t="s">
        <v>985</v>
      </c>
      <c r="C48" s="504"/>
      <c r="D48" s="506">
        <f>((D24*$A$46)/1000)+D44</f>
        <v>0.84240000000000004</v>
      </c>
      <c r="E48" s="506">
        <f t="shared" ref="E48:L48" si="30">((E24*$A$46)/1000)+E44</f>
        <v>25.272000000000006</v>
      </c>
      <c r="F48" s="506">
        <f t="shared" si="30"/>
        <v>130.57200000000003</v>
      </c>
      <c r="G48" s="506">
        <f t="shared" si="30"/>
        <v>168.48000000000002</v>
      </c>
      <c r="H48" s="506">
        <f t="shared" si="30"/>
        <v>221.55120000000005</v>
      </c>
      <c r="I48" s="506">
        <f t="shared" si="30"/>
        <v>252.72000000000003</v>
      </c>
      <c r="J48" s="506">
        <f t="shared" si="30"/>
        <v>272.93760000000003</v>
      </c>
      <c r="K48" s="506">
        <f t="shared" si="30"/>
        <v>294.84000000000003</v>
      </c>
      <c r="L48" s="506">
        <f t="shared" si="30"/>
        <v>312.36192000000005</v>
      </c>
      <c r="M48" s="108"/>
    </row>
    <row r="49" spans="1:21" ht="25.95" customHeight="1" outlineLevel="1" x14ac:dyDescent="0.25">
      <c r="B49" s="494" t="s">
        <v>979</v>
      </c>
      <c r="C49" s="495"/>
      <c r="D49" s="496">
        <f>D42+D46</f>
        <v>1.0400399999999999</v>
      </c>
      <c r="E49" s="496">
        <f t="shared" ref="E49:L49" si="31">E42+E46</f>
        <v>31.467959999999998</v>
      </c>
      <c r="F49" s="496">
        <f t="shared" si="31"/>
        <v>163.96271999999999</v>
      </c>
      <c r="G49" s="496">
        <f t="shared" si="31"/>
        <v>213.3432</v>
      </c>
      <c r="H49" s="496">
        <f t="shared" si="31"/>
        <v>287.562096</v>
      </c>
      <c r="I49" s="496">
        <f t="shared" si="31"/>
        <v>338.68800000000005</v>
      </c>
      <c r="J49" s="496">
        <f t="shared" si="31"/>
        <v>377.49369600000006</v>
      </c>
      <c r="K49" s="496">
        <f t="shared" si="31"/>
        <v>420.84</v>
      </c>
      <c r="L49" s="496">
        <f t="shared" si="31"/>
        <v>460.11978720000002</v>
      </c>
      <c r="M49" s="108"/>
    </row>
    <row r="50" spans="1:21" s="309" customFormat="1" ht="25.95" customHeight="1" outlineLevel="1" x14ac:dyDescent="0.25">
      <c r="A50" s="503">
        <v>0.73099999999999998</v>
      </c>
      <c r="B50" s="310" t="s">
        <v>794</v>
      </c>
      <c r="C50" s="311"/>
      <c r="D50" s="312">
        <f>$A$50*D3</f>
        <v>0.73099999999999998</v>
      </c>
      <c r="E50" s="312">
        <f t="shared" ref="E50:L50" si="32">$A$50*E3</f>
        <v>21.93</v>
      </c>
      <c r="F50" s="312">
        <f t="shared" si="32"/>
        <v>113.30499999999999</v>
      </c>
      <c r="G50" s="312">
        <f t="shared" si="32"/>
        <v>146.19999999999999</v>
      </c>
      <c r="H50" s="312">
        <f t="shared" si="32"/>
        <v>192.25299999999999</v>
      </c>
      <c r="I50" s="312">
        <f t="shared" si="32"/>
        <v>219.29999999999998</v>
      </c>
      <c r="J50" s="312">
        <f t="shared" si="32"/>
        <v>236.84399999999999</v>
      </c>
      <c r="K50" s="312">
        <f t="shared" si="32"/>
        <v>255.85</v>
      </c>
      <c r="L50" s="312">
        <f t="shared" si="32"/>
        <v>271.0548</v>
      </c>
      <c r="M50" s="503">
        <f>L50/L3</f>
        <v>0.73099999999999998</v>
      </c>
    </row>
    <row r="51" spans="1:21" ht="12.75" customHeight="1" outlineLevel="1" x14ac:dyDescent="0.25">
      <c r="A51" s="274" t="s">
        <v>221</v>
      </c>
      <c r="B51" s="246" t="s">
        <v>222</v>
      </c>
      <c r="C51" s="247" t="s">
        <v>169</v>
      </c>
      <c r="D51" s="248">
        <f>D50/D3</f>
        <v>0.73099999999999998</v>
      </c>
      <c r="E51" s="248">
        <f t="shared" ref="E51:L51" si="33">E50/E3</f>
        <v>0.73099999999999998</v>
      </c>
      <c r="F51" s="248">
        <f t="shared" si="33"/>
        <v>0.73099999999999998</v>
      </c>
      <c r="G51" s="248">
        <f t="shared" si="33"/>
        <v>0.73099999999999998</v>
      </c>
      <c r="H51" s="248">
        <f t="shared" si="33"/>
        <v>0.73099999999999998</v>
      </c>
      <c r="I51" s="248">
        <f t="shared" si="33"/>
        <v>0.73099999999999998</v>
      </c>
      <c r="J51" s="248">
        <f t="shared" si="33"/>
        <v>0.73099999999999998</v>
      </c>
      <c r="K51" s="248">
        <f t="shared" si="33"/>
        <v>0.73099999999999998</v>
      </c>
      <c r="L51" s="248">
        <f t="shared" si="33"/>
        <v>0.73099999999999998</v>
      </c>
      <c r="M51" s="108"/>
    </row>
    <row r="52" spans="1:21" ht="12.75" customHeight="1" outlineLevel="1" x14ac:dyDescent="0.25">
      <c r="B52" s="169" t="s">
        <v>223</v>
      </c>
      <c r="C52" s="97" t="s">
        <v>166</v>
      </c>
      <c r="D52" s="107">
        <f>D3*$D$51</f>
        <v>0.73099999999999998</v>
      </c>
      <c r="E52" s="107">
        <f t="shared" ref="E52:L52" si="34">E3*$D$51</f>
        <v>21.93</v>
      </c>
      <c r="F52" s="107">
        <f t="shared" si="34"/>
        <v>113.30499999999999</v>
      </c>
      <c r="G52" s="107">
        <f t="shared" si="34"/>
        <v>146.19999999999999</v>
      </c>
      <c r="H52" s="107">
        <f t="shared" si="34"/>
        <v>192.25299999999999</v>
      </c>
      <c r="I52" s="107">
        <f t="shared" si="34"/>
        <v>219.29999999999998</v>
      </c>
      <c r="J52" s="107">
        <f t="shared" si="34"/>
        <v>236.84399999999999</v>
      </c>
      <c r="K52" s="107">
        <f t="shared" si="34"/>
        <v>255.85</v>
      </c>
      <c r="L52" s="107">
        <f t="shared" si="34"/>
        <v>271.0548</v>
      </c>
      <c r="M52" s="126"/>
      <c r="N52" s="97">
        <v>1000</v>
      </c>
    </row>
    <row r="53" spans="1:21" ht="12.75" customHeight="1" outlineLevel="1" x14ac:dyDescent="0.25">
      <c r="B53" s="169" t="s">
        <v>175</v>
      </c>
      <c r="C53" s="97" t="s">
        <v>166</v>
      </c>
      <c r="D53" s="107">
        <f t="shared" ref="D53:L53" si="35">D52-D38</f>
        <v>0.73099999999999998</v>
      </c>
      <c r="E53" s="107">
        <f t="shared" si="35"/>
        <v>14.104751333333333</v>
      </c>
      <c r="F53" s="107">
        <f t="shared" si="35"/>
        <v>104.65872177777776</v>
      </c>
      <c r="G53" s="361">
        <f t="shared" si="35"/>
        <v>131.93108599999999</v>
      </c>
      <c r="H53" s="107">
        <f t="shared" si="35"/>
        <v>192.25299999999999</v>
      </c>
      <c r="I53" s="107">
        <f t="shared" si="35"/>
        <v>219.29999999999998</v>
      </c>
      <c r="J53" s="107">
        <f t="shared" si="35"/>
        <v>236.84399999999999</v>
      </c>
      <c r="K53" s="107">
        <f t="shared" si="35"/>
        <v>255.85</v>
      </c>
      <c r="L53" s="107">
        <f t="shared" si="35"/>
        <v>271.0548</v>
      </c>
      <c r="M53" s="108"/>
    </row>
    <row r="54" spans="1:21" ht="12.75" customHeight="1" outlineLevel="1" x14ac:dyDescent="0.25">
      <c r="B54" s="169" t="s">
        <v>224</v>
      </c>
      <c r="C54" s="97" t="s">
        <v>166</v>
      </c>
      <c r="D54" s="107">
        <f t="shared" ref="D54:L54" si="36">(D52-D38)-D39</f>
        <v>0.73099999999999998</v>
      </c>
      <c r="E54" s="107">
        <f t="shared" si="36"/>
        <v>14.104751333333333</v>
      </c>
      <c r="F54" s="107">
        <f t="shared" si="36"/>
        <v>104.65872177777776</v>
      </c>
      <c r="G54" s="361">
        <f t="shared" si="36"/>
        <v>131.93108599999999</v>
      </c>
      <c r="H54" s="107">
        <f t="shared" si="36"/>
        <v>192.25299999999999</v>
      </c>
      <c r="I54" s="107">
        <f t="shared" si="36"/>
        <v>219.29999999999998</v>
      </c>
      <c r="J54" s="107">
        <f t="shared" si="36"/>
        <v>236.84399999999999</v>
      </c>
      <c r="K54" s="107">
        <f t="shared" si="36"/>
        <v>255.85</v>
      </c>
      <c r="L54" s="107">
        <f t="shared" si="36"/>
        <v>271.0548</v>
      </c>
      <c r="M54" s="108"/>
    </row>
    <row r="55" spans="1:21" ht="12.75" customHeight="1" x14ac:dyDescent="0.25">
      <c r="B55" s="174" t="s">
        <v>612</v>
      </c>
      <c r="D55" s="107"/>
      <c r="E55" s="107"/>
      <c r="F55" s="107"/>
      <c r="G55" s="361"/>
      <c r="H55" s="107"/>
      <c r="I55" s="107"/>
      <c r="J55" s="107"/>
      <c r="K55" s="107"/>
      <c r="L55" s="107"/>
      <c r="M55" s="108"/>
    </row>
    <row r="56" spans="1:21" ht="12.75" customHeight="1" x14ac:dyDescent="0.25">
      <c r="B56" s="169" t="s">
        <v>225</v>
      </c>
      <c r="C56" s="127">
        <f>abitabelid!I17</f>
        <v>0.35348212628212627</v>
      </c>
    </row>
    <row r="57" spans="1:21" ht="12.75" customHeight="1" x14ac:dyDescent="0.25">
      <c r="B57" s="169" t="s">
        <v>177</v>
      </c>
      <c r="C57" s="97" t="s">
        <v>178</v>
      </c>
      <c r="D57" s="128">
        <f>($C$56*D10)/1000</f>
        <v>3.5348212628212626E-3</v>
      </c>
      <c r="E57" s="128">
        <f t="shared" ref="E57:L58" si="37">($C$56*E10)/1000</f>
        <v>0.10604463788463787</v>
      </c>
      <c r="F57" s="128">
        <f t="shared" si="37"/>
        <v>0.54789729573729573</v>
      </c>
      <c r="G57" s="128">
        <f t="shared" si="37"/>
        <v>0.70696425256425255</v>
      </c>
      <c r="H57" s="128">
        <f t="shared" si="37"/>
        <v>0.92965799212199218</v>
      </c>
      <c r="I57" s="128">
        <f t="shared" si="37"/>
        <v>1.0604463788463787</v>
      </c>
      <c r="J57" s="128">
        <f t="shared" si="37"/>
        <v>1.1452820891540891</v>
      </c>
      <c r="K57" s="128">
        <f t="shared" si="37"/>
        <v>1.237187441987442</v>
      </c>
      <c r="L57" s="128">
        <f t="shared" si="37"/>
        <v>1.3107117242541242</v>
      </c>
      <c r="M57" s="129"/>
      <c r="N57" s="97" t="s">
        <v>800</v>
      </c>
    </row>
    <row r="58" spans="1:21" ht="12.75" customHeight="1" x14ac:dyDescent="0.25">
      <c r="B58" s="168" t="s">
        <v>177</v>
      </c>
      <c r="C58" s="95" t="s">
        <v>179</v>
      </c>
      <c r="D58" s="161">
        <f>($C$56*D11)/1000</f>
        <v>1.2725356546156546E-2</v>
      </c>
      <c r="E58" s="161">
        <f t="shared" si="37"/>
        <v>0.38176069638469634</v>
      </c>
      <c r="F58" s="161">
        <f t="shared" si="37"/>
        <v>1.9724302646542646</v>
      </c>
      <c r="G58" s="161">
        <f t="shared" si="37"/>
        <v>2.5450713092313091</v>
      </c>
      <c r="H58" s="161">
        <f t="shared" si="37"/>
        <v>3.3467687716391716</v>
      </c>
      <c r="I58" s="161">
        <f t="shared" si="37"/>
        <v>3.8176069638469641</v>
      </c>
      <c r="J58" s="161">
        <f t="shared" si="37"/>
        <v>4.1230155209547208</v>
      </c>
      <c r="K58" s="161">
        <f t="shared" si="37"/>
        <v>4.4538747911547905</v>
      </c>
      <c r="L58" s="161">
        <f t="shared" si="37"/>
        <v>4.7185622073148483</v>
      </c>
      <c r="M58" s="129"/>
    </row>
    <row r="59" spans="1:21" ht="12.75" customHeight="1" x14ac:dyDescent="0.25">
      <c r="A59" s="275">
        <f>(A62+A63)+A64</f>
        <v>0.52</v>
      </c>
      <c r="B59" s="173" t="s">
        <v>980</v>
      </c>
      <c r="C59" s="107" t="s">
        <v>169</v>
      </c>
      <c r="D59" s="112">
        <f>D46</f>
        <v>0</v>
      </c>
      <c r="E59" s="112">
        <f t="shared" ref="E59:L59" si="38">E46</f>
        <v>28.262889999999999</v>
      </c>
      <c r="F59" s="112">
        <f t="shared" si="38"/>
        <v>57.004959999999997</v>
      </c>
      <c r="G59" s="112">
        <f t="shared" si="38"/>
        <v>115.38311400000001</v>
      </c>
      <c r="H59" s="112">
        <f t="shared" si="38"/>
        <v>177.61545599999999</v>
      </c>
      <c r="I59" s="112">
        <f t="shared" si="38"/>
        <v>177.18400000000003</v>
      </c>
      <c r="J59" s="112">
        <f t="shared" si="38"/>
        <v>176.41616400000001</v>
      </c>
      <c r="K59" s="112">
        <f t="shared" si="38"/>
        <v>178.7568</v>
      </c>
      <c r="L59" s="112">
        <f t="shared" si="38"/>
        <v>174.24079500000002</v>
      </c>
      <c r="M59" s="108"/>
    </row>
    <row r="60" spans="1:21" ht="12.75" customHeight="1" x14ac:dyDescent="0.25">
      <c r="A60" s="276"/>
      <c r="B60" s="160" t="s">
        <v>608</v>
      </c>
      <c r="C60" s="107"/>
      <c r="D60" s="107"/>
      <c r="E60" s="112"/>
      <c r="F60" s="112"/>
      <c r="G60" s="360"/>
      <c r="H60" s="112"/>
      <c r="I60" s="112"/>
      <c r="J60" s="112"/>
      <c r="K60" s="112"/>
      <c r="L60" s="112"/>
      <c r="M60" s="108"/>
    </row>
    <row r="61" spans="1:21" ht="12.75" customHeight="1" x14ac:dyDescent="0.25">
      <c r="A61" s="277">
        <f>((A66+A64)+A63)+A62</f>
        <v>0.65</v>
      </c>
      <c r="B61" s="250" t="s">
        <v>723</v>
      </c>
      <c r="C61" s="261" t="s">
        <v>181</v>
      </c>
      <c r="D61" s="261">
        <f t="shared" ref="D61:L61" si="39">SUM(D62:D66)</f>
        <v>0.79</v>
      </c>
      <c r="E61" s="264">
        <f>SUM(E62:E66)</f>
        <v>23.700000000000003</v>
      </c>
      <c r="F61" s="264">
        <f t="shared" si="39"/>
        <v>122.45</v>
      </c>
      <c r="G61" s="373">
        <f t="shared" si="39"/>
        <v>158</v>
      </c>
      <c r="H61" s="264">
        <f t="shared" si="39"/>
        <v>207.76999999999998</v>
      </c>
      <c r="I61" s="264">
        <f t="shared" si="39"/>
        <v>237</v>
      </c>
      <c r="J61" s="264">
        <f t="shared" si="39"/>
        <v>255.96000000000004</v>
      </c>
      <c r="K61" s="264">
        <f t="shared" si="39"/>
        <v>276.5</v>
      </c>
      <c r="L61" s="264">
        <f t="shared" si="39"/>
        <v>292.93200000000002</v>
      </c>
      <c r="M61" s="105"/>
      <c r="S61" s="119"/>
      <c r="T61" s="119"/>
      <c r="U61" s="119"/>
    </row>
    <row r="62" spans="1:21" ht="12.75" customHeight="1" x14ac:dyDescent="0.25">
      <c r="A62" s="274">
        <v>0.14000000000000001</v>
      </c>
      <c r="B62" s="283" t="s">
        <v>736</v>
      </c>
      <c r="C62" s="95" t="s">
        <v>181</v>
      </c>
      <c r="D62" s="157">
        <f>$A$62*D3</f>
        <v>0.14000000000000001</v>
      </c>
      <c r="E62" s="158">
        <f t="shared" ref="E62:L62" si="40">$A$62*E3</f>
        <v>4.2</v>
      </c>
      <c r="F62" s="158">
        <f t="shared" si="40"/>
        <v>21.700000000000003</v>
      </c>
      <c r="G62" s="158">
        <f t="shared" si="40"/>
        <v>28.000000000000004</v>
      </c>
      <c r="H62" s="158">
        <f t="shared" si="40"/>
        <v>36.82</v>
      </c>
      <c r="I62" s="158">
        <f t="shared" si="40"/>
        <v>42.000000000000007</v>
      </c>
      <c r="J62" s="158">
        <f t="shared" si="40"/>
        <v>45.360000000000007</v>
      </c>
      <c r="K62" s="158">
        <f t="shared" si="40"/>
        <v>49.000000000000007</v>
      </c>
      <c r="L62" s="158">
        <f t="shared" si="40"/>
        <v>51.912000000000006</v>
      </c>
      <c r="M62" s="210" t="s">
        <v>625</v>
      </c>
      <c r="N62" s="119"/>
      <c r="O62" s="119"/>
      <c r="P62" s="119"/>
      <c r="Q62" s="119"/>
      <c r="R62" s="119"/>
    </row>
    <row r="63" spans="1:21" ht="12.75" customHeight="1" x14ac:dyDescent="0.25">
      <c r="A63" s="274">
        <v>0.17</v>
      </c>
      <c r="B63" s="283" t="s">
        <v>590</v>
      </c>
      <c r="C63" s="95" t="s">
        <v>181</v>
      </c>
      <c r="D63" s="157">
        <f>$A$63*D3</f>
        <v>0.17</v>
      </c>
      <c r="E63" s="158">
        <f t="shared" ref="E63:L63" si="41">$A$63*E3</f>
        <v>5.1000000000000005</v>
      </c>
      <c r="F63" s="158">
        <f t="shared" si="41"/>
        <v>26.35</v>
      </c>
      <c r="G63" s="158">
        <f t="shared" si="41"/>
        <v>34</v>
      </c>
      <c r="H63" s="158">
        <f t="shared" si="41"/>
        <v>44.71</v>
      </c>
      <c r="I63" s="158">
        <f t="shared" si="41"/>
        <v>51.000000000000007</v>
      </c>
      <c r="J63" s="158">
        <f t="shared" si="41"/>
        <v>55.080000000000005</v>
      </c>
      <c r="K63" s="158">
        <f t="shared" si="41"/>
        <v>59.500000000000007</v>
      </c>
      <c r="L63" s="158">
        <f t="shared" si="41"/>
        <v>63.036000000000008</v>
      </c>
    </row>
    <row r="64" spans="1:21" ht="12.75" customHeight="1" x14ac:dyDescent="0.25">
      <c r="A64" s="274">
        <v>0.21</v>
      </c>
      <c r="B64" s="283" t="s">
        <v>737</v>
      </c>
      <c r="C64" s="95" t="s">
        <v>181</v>
      </c>
      <c r="D64" s="157">
        <f>$A$64*D3</f>
        <v>0.21</v>
      </c>
      <c r="E64" s="158">
        <f t="shared" ref="E64:L64" si="42">$A$64*E3</f>
        <v>6.3</v>
      </c>
      <c r="F64" s="158">
        <f t="shared" si="42"/>
        <v>32.549999999999997</v>
      </c>
      <c r="G64" s="158">
        <f t="shared" si="42"/>
        <v>42</v>
      </c>
      <c r="H64" s="158">
        <f t="shared" si="42"/>
        <v>55.23</v>
      </c>
      <c r="I64" s="158">
        <f t="shared" si="42"/>
        <v>63</v>
      </c>
      <c r="J64" s="158">
        <f t="shared" si="42"/>
        <v>68.039999999999992</v>
      </c>
      <c r="K64" s="158">
        <f t="shared" si="42"/>
        <v>73.5</v>
      </c>
      <c r="L64" s="158">
        <f t="shared" si="42"/>
        <v>77.867999999999995</v>
      </c>
      <c r="M64" s="210" t="s">
        <v>626</v>
      </c>
      <c r="N64" s="97" t="s">
        <v>173</v>
      </c>
    </row>
    <row r="65" spans="1:18" ht="12.75" customHeight="1" x14ac:dyDescent="0.25">
      <c r="A65" s="274">
        <v>0.14000000000000001</v>
      </c>
      <c r="B65" s="283" t="s">
        <v>738</v>
      </c>
      <c r="C65" s="95" t="s">
        <v>181</v>
      </c>
      <c r="D65" s="157">
        <f>$A$65*D3</f>
        <v>0.14000000000000001</v>
      </c>
      <c r="E65" s="158">
        <f t="shared" ref="E65:L65" si="43">$A$65*E3</f>
        <v>4.2</v>
      </c>
      <c r="F65" s="158">
        <f t="shared" si="43"/>
        <v>21.700000000000003</v>
      </c>
      <c r="G65" s="158">
        <f t="shared" si="43"/>
        <v>28.000000000000004</v>
      </c>
      <c r="H65" s="158">
        <f t="shared" si="43"/>
        <v>36.82</v>
      </c>
      <c r="I65" s="158">
        <f t="shared" si="43"/>
        <v>42.000000000000007</v>
      </c>
      <c r="J65" s="158">
        <f t="shared" si="43"/>
        <v>45.360000000000007</v>
      </c>
      <c r="K65" s="158">
        <f t="shared" si="43"/>
        <v>49.000000000000007</v>
      </c>
      <c r="L65" s="158">
        <f t="shared" si="43"/>
        <v>51.912000000000006</v>
      </c>
      <c r="M65" s="210"/>
    </row>
    <row r="66" spans="1:18" ht="13.2" x14ac:dyDescent="0.25">
      <c r="A66" s="274">
        <v>0.13</v>
      </c>
      <c r="B66" s="283" t="s">
        <v>735</v>
      </c>
      <c r="C66" s="95" t="s">
        <v>181</v>
      </c>
      <c r="D66" s="157">
        <f>$A$66*D3</f>
        <v>0.13</v>
      </c>
      <c r="E66" s="158">
        <f t="shared" ref="E66:L66" si="44">$A$66*E3</f>
        <v>3.9000000000000004</v>
      </c>
      <c r="F66" s="158">
        <f t="shared" si="44"/>
        <v>20.150000000000002</v>
      </c>
      <c r="G66" s="158">
        <f t="shared" si="44"/>
        <v>26</v>
      </c>
      <c r="H66" s="158">
        <f t="shared" si="44"/>
        <v>34.19</v>
      </c>
      <c r="I66" s="158">
        <f t="shared" si="44"/>
        <v>39</v>
      </c>
      <c r="J66" s="158">
        <f t="shared" si="44"/>
        <v>42.120000000000005</v>
      </c>
      <c r="K66" s="158">
        <f t="shared" si="44"/>
        <v>45.5</v>
      </c>
      <c r="L66" s="158">
        <f t="shared" si="44"/>
        <v>48.204000000000001</v>
      </c>
      <c r="M66" s="252" t="s">
        <v>721</v>
      </c>
      <c r="N66" s="115" t="e">
        <f>124/L15</f>
        <v>#DIV/0!</v>
      </c>
      <c r="O66" s="97" t="e">
        <f>N66*L15</f>
        <v>#DIV/0!</v>
      </c>
      <c r="P66" s="115">
        <f>SUM(D66:L66)</f>
        <v>259.19400000000002</v>
      </c>
    </row>
    <row r="67" spans="1:18" ht="22.95" customHeight="1" x14ac:dyDescent="0.3">
      <c r="B67" s="307" t="s">
        <v>917</v>
      </c>
      <c r="C67" s="97" t="s">
        <v>181</v>
      </c>
      <c r="D67" s="112">
        <f>((D29*D17)*1000)/1000000</f>
        <v>0</v>
      </c>
      <c r="E67" s="112">
        <f t="shared" ref="E67:L67" si="45">((E29*E17)*1000)/1000000</f>
        <v>28.262889999999999</v>
      </c>
      <c r="F67" s="112">
        <f t="shared" si="45"/>
        <v>57.004959999999997</v>
      </c>
      <c r="G67" s="112">
        <f t="shared" si="45"/>
        <v>115.38311400000001</v>
      </c>
      <c r="H67" s="112">
        <f t="shared" si="45"/>
        <v>177.61545599999999</v>
      </c>
      <c r="I67" s="112">
        <f t="shared" si="45"/>
        <v>177.18400000000003</v>
      </c>
      <c r="J67" s="112">
        <f t="shared" si="45"/>
        <v>176.41616400000004</v>
      </c>
      <c r="K67" s="112">
        <f t="shared" si="45"/>
        <v>178.7568</v>
      </c>
      <c r="L67" s="112">
        <f t="shared" si="45"/>
        <v>174.24079499999999</v>
      </c>
      <c r="M67" s="209"/>
      <c r="P67" s="115">
        <f>SUM(D67:L67)</f>
        <v>1084.8641790000001</v>
      </c>
    </row>
    <row r="68" spans="1:18" ht="12.75" customHeight="1" x14ac:dyDescent="0.25">
      <c r="B68" s="169" t="s">
        <v>918</v>
      </c>
      <c r="C68" s="97" t="s">
        <v>181</v>
      </c>
      <c r="D68" s="112">
        <f>D61*D1</f>
        <v>0.79</v>
      </c>
      <c r="E68" s="112">
        <f t="shared" ref="E68:L68" si="46">E61*E1</f>
        <v>21.286111111111115</v>
      </c>
      <c r="F68" s="112">
        <f t="shared" si="46"/>
        <v>42.572222222222223</v>
      </c>
      <c r="G68" s="112">
        <f t="shared" si="46"/>
        <v>85.451666666666654</v>
      </c>
      <c r="H68" s="112">
        <f t="shared" si="46"/>
        <v>128.33111111111108</v>
      </c>
      <c r="I68" s="112">
        <f t="shared" si="46"/>
        <v>123.98611111111111</v>
      </c>
      <c r="J68" s="112">
        <f t="shared" si="46"/>
        <v>119.61916666666667</v>
      </c>
      <c r="K68" s="112">
        <f t="shared" si="46"/>
        <v>117.44666666666669</v>
      </c>
      <c r="L68" s="112">
        <f t="shared" si="46"/>
        <v>110.92916666666666</v>
      </c>
      <c r="M68" s="353" t="s">
        <v>129</v>
      </c>
      <c r="P68" s="115">
        <f>SUM(D68:L68)</f>
        <v>750.41222222222234</v>
      </c>
    </row>
    <row r="69" spans="1:18" ht="12.75" customHeight="1" x14ac:dyDescent="0.25">
      <c r="A69" s="274" t="s">
        <v>227</v>
      </c>
      <c r="B69" s="130" t="s">
        <v>189</v>
      </c>
      <c r="C69" s="97" t="s">
        <v>7</v>
      </c>
      <c r="D69" s="143"/>
      <c r="E69" s="143"/>
      <c r="F69" s="143"/>
      <c r="G69" s="374"/>
      <c r="H69" s="143"/>
      <c r="I69" s="143"/>
      <c r="J69" s="143"/>
      <c r="K69" s="143"/>
      <c r="L69" s="143"/>
      <c r="M69" s="131"/>
    </row>
    <row r="70" spans="1:18" ht="12.75" customHeight="1" x14ac:dyDescent="0.25">
      <c r="A70" s="278">
        <f>abitabelid!D33</f>
        <v>848392</v>
      </c>
      <c r="B70" s="168" t="s">
        <v>190</v>
      </c>
      <c r="C70" s="163" t="s">
        <v>181</v>
      </c>
      <c r="D70" s="164">
        <f>($A$70*D4)/1000000</f>
        <v>0.84839200000000003</v>
      </c>
      <c r="E70" s="164">
        <f t="shared" ref="E70:L70" si="47">($A$70*E4)/1000000</f>
        <v>24.603368</v>
      </c>
      <c r="F70" s="164">
        <f t="shared" si="47"/>
        <v>106.04900000000001</v>
      </c>
      <c r="G70" s="164">
        <f t="shared" si="47"/>
        <v>38.177639999999997</v>
      </c>
      <c r="H70" s="164">
        <f t="shared" si="47"/>
        <v>53.448695999999998</v>
      </c>
      <c r="I70" s="164">
        <f t="shared" si="47"/>
        <v>31.390504</v>
      </c>
      <c r="J70" s="164">
        <f t="shared" si="47"/>
        <v>20.361408000000001</v>
      </c>
      <c r="K70" s="164">
        <f t="shared" si="47"/>
        <v>22.058191999999998</v>
      </c>
      <c r="L70" s="164">
        <f t="shared" si="47"/>
        <v>17.646553600000008</v>
      </c>
      <c r="M70" s="391" t="s">
        <v>842</v>
      </c>
      <c r="N70" s="144">
        <f>SUM(D70:L70)</f>
        <v>314.58375360000002</v>
      </c>
      <c r="O70" s="112">
        <f>SUM(D70:F70)</f>
        <v>131.50076000000001</v>
      </c>
    </row>
    <row r="71" spans="1:18" ht="12.75" customHeight="1" x14ac:dyDescent="0.25">
      <c r="A71" s="278">
        <f>abitabelid!D30</f>
        <v>2827440</v>
      </c>
      <c r="B71" s="168" t="s">
        <v>192</v>
      </c>
      <c r="C71" s="95" t="s">
        <v>181</v>
      </c>
      <c r="D71" s="164">
        <f>($A$71*D4)/1000000</f>
        <v>2.8274400000000002</v>
      </c>
      <c r="E71" s="164">
        <f t="shared" ref="E71:L71" si="48">($A$71*E4)/1000000</f>
        <v>81.995760000000004</v>
      </c>
      <c r="F71" s="164">
        <f t="shared" si="48"/>
        <v>353.43</v>
      </c>
      <c r="G71" s="164">
        <f t="shared" si="48"/>
        <v>127.23480000000001</v>
      </c>
      <c r="H71" s="164">
        <f t="shared" si="48"/>
        <v>178.12871999999999</v>
      </c>
      <c r="I71" s="164">
        <f t="shared" si="48"/>
        <v>104.61528</v>
      </c>
      <c r="J71" s="164">
        <f t="shared" si="48"/>
        <v>67.858559999999997</v>
      </c>
      <c r="K71" s="164">
        <f t="shared" si="48"/>
        <v>73.513440000000003</v>
      </c>
      <c r="L71" s="164">
        <f t="shared" si="48"/>
        <v>58.810752000000029</v>
      </c>
      <c r="M71" s="391" t="s">
        <v>841</v>
      </c>
      <c r="N71" s="112">
        <f>SUM(D71:L71)</f>
        <v>1048.4147520000001</v>
      </c>
      <c r="O71" s="112">
        <f>SUM(D71:F71)</f>
        <v>438.25319999999999</v>
      </c>
    </row>
    <row r="72" spans="1:18" ht="12.75" customHeight="1" x14ac:dyDescent="0.25">
      <c r="A72" s="278">
        <f>abitabelid!D36</f>
        <v>500000</v>
      </c>
      <c r="B72" s="168" t="s">
        <v>193</v>
      </c>
      <c r="C72" s="95" t="s">
        <v>181</v>
      </c>
      <c r="D72" s="165">
        <f>($A$72*D4)/1000000</f>
        <v>0.5</v>
      </c>
      <c r="E72" s="165">
        <f t="shared" ref="E72:L72" si="49">($A$72*E4)/1000000</f>
        <v>14.5</v>
      </c>
      <c r="F72" s="165">
        <f t="shared" si="49"/>
        <v>62.5</v>
      </c>
      <c r="G72" s="165">
        <f t="shared" si="49"/>
        <v>22.5</v>
      </c>
      <c r="H72" s="165">
        <f t="shared" si="49"/>
        <v>31.5</v>
      </c>
      <c r="I72" s="165">
        <f t="shared" si="49"/>
        <v>18.5</v>
      </c>
      <c r="J72" s="165">
        <f t="shared" si="49"/>
        <v>12</v>
      </c>
      <c r="K72" s="165">
        <f t="shared" si="49"/>
        <v>13</v>
      </c>
      <c r="L72" s="165">
        <f t="shared" si="49"/>
        <v>10.400000000000006</v>
      </c>
      <c r="M72" s="391" t="s">
        <v>841</v>
      </c>
      <c r="N72" s="112">
        <f>SUM(D72:L72)</f>
        <v>185.4</v>
      </c>
      <c r="P72" s="112">
        <f>O70+O71</f>
        <v>569.75396000000001</v>
      </c>
    </row>
    <row r="73" spans="1:18" ht="12.75" customHeight="1" x14ac:dyDescent="0.25">
      <c r="A73" s="275">
        <f>abitabelid!D48</f>
        <v>369940.17094017094</v>
      </c>
      <c r="B73" s="168" t="s">
        <v>194</v>
      </c>
      <c r="C73" s="95" t="s">
        <v>181</v>
      </c>
      <c r="D73" s="165">
        <f>($A$73*D4)/1000000</f>
        <v>0.36994017094017095</v>
      </c>
      <c r="E73" s="165">
        <f t="shared" ref="E73:L73" si="50">($A$73*E4)/1000000</f>
        <v>10.728264957264958</v>
      </c>
      <c r="F73" s="165">
        <f t="shared" si="50"/>
        <v>46.24252136752137</v>
      </c>
      <c r="G73" s="165">
        <f t="shared" si="50"/>
        <v>16.647307692307692</v>
      </c>
      <c r="H73" s="165">
        <f t="shared" si="50"/>
        <v>23.306230769230769</v>
      </c>
      <c r="I73" s="165">
        <f t="shared" si="50"/>
        <v>13.687786324786323</v>
      </c>
      <c r="J73" s="165">
        <f t="shared" si="50"/>
        <v>8.878564102564102</v>
      </c>
      <c r="K73" s="165">
        <f t="shared" si="50"/>
        <v>9.6184444444444441</v>
      </c>
      <c r="L73" s="165">
        <f t="shared" si="50"/>
        <v>7.6947555555555596</v>
      </c>
      <c r="M73" s="391" t="s">
        <v>842</v>
      </c>
      <c r="N73" s="112">
        <f>SUM(D73:L73)</f>
        <v>137.17381538461538</v>
      </c>
      <c r="P73" s="115">
        <f>P72*G75</f>
        <v>2481.379161876549</v>
      </c>
    </row>
    <row r="74" spans="1:18" ht="12.75" customHeight="1" x14ac:dyDescent="0.25">
      <c r="A74" s="319">
        <f>50-A38</f>
        <v>19.259559111111095</v>
      </c>
      <c r="E74" s="227">
        <f>E72/M74</f>
        <v>0.14572864321608039</v>
      </c>
      <c r="F74" s="227">
        <f>F72/M74</f>
        <v>0.62814070351758799</v>
      </c>
      <c r="G74" s="500">
        <f>G72/M74</f>
        <v>0.22613065326633167</v>
      </c>
      <c r="H74" s="115"/>
      <c r="M74" s="132">
        <f>E72+F72+G72</f>
        <v>99.5</v>
      </c>
      <c r="N74" s="133">
        <f>SUM(N70:N73)</f>
        <v>1685.5723209846155</v>
      </c>
      <c r="O74" s="119"/>
      <c r="P74" s="119"/>
      <c r="Q74" s="119"/>
      <c r="R74" s="119"/>
    </row>
    <row r="75" spans="1:18" ht="12.75" customHeight="1" x14ac:dyDescent="0.25">
      <c r="A75" s="275">
        <f>E75+F75+G75</f>
        <v>19.259559111111095</v>
      </c>
      <c r="B75" s="97" t="s">
        <v>967</v>
      </c>
      <c r="C75" s="97" t="s">
        <v>7</v>
      </c>
      <c r="E75" s="396">
        <f>A74*E74</f>
        <v>2.806669418202119</v>
      </c>
      <c r="F75" s="396">
        <f>A74*F74</f>
        <v>12.097713009491894</v>
      </c>
      <c r="G75" s="372">
        <f>A74*G74</f>
        <v>4.3551766834170822</v>
      </c>
      <c r="H75" s="115" t="s">
        <v>800</v>
      </c>
      <c r="M75" s="131"/>
    </row>
    <row r="76" spans="1:18" ht="12.75" customHeight="1" x14ac:dyDescent="0.25">
      <c r="A76" s="275">
        <f>E76+F76+G76</f>
        <v>0.58069022445561091</v>
      </c>
      <c r="B76" s="97" t="s">
        <v>7</v>
      </c>
      <c r="C76" s="97" t="s">
        <v>7</v>
      </c>
      <c r="E76" s="116">
        <f>E75/E72</f>
        <v>0.19356340815187029</v>
      </c>
      <c r="F76" s="116">
        <f>F75/F72</f>
        <v>0.19356340815187031</v>
      </c>
      <c r="G76" s="418">
        <f>G75/G72</f>
        <v>0.19356340815187031</v>
      </c>
      <c r="H76" s="115"/>
      <c r="M76" s="131"/>
    </row>
    <row r="77" spans="1:18" s="408" customFormat="1" ht="25.05" customHeight="1" x14ac:dyDescent="0.25">
      <c r="A77" s="407">
        <v>0.19</v>
      </c>
      <c r="B77" s="408" t="s">
        <v>966</v>
      </c>
      <c r="C77" s="408" t="s">
        <v>181</v>
      </c>
      <c r="D77" s="409">
        <f>D72*$A$77</f>
        <v>9.5000000000000001E-2</v>
      </c>
      <c r="E77" s="409">
        <f>E76*E72</f>
        <v>2.806669418202119</v>
      </c>
      <c r="F77" s="409">
        <f t="shared" ref="F77:G77" si="51">F76*F72</f>
        <v>12.097713009491894</v>
      </c>
      <c r="G77" s="409">
        <f t="shared" si="51"/>
        <v>4.3551766834170822</v>
      </c>
      <c r="H77" s="410"/>
      <c r="M77" s="411">
        <f>SUM(D81:D84)</f>
        <v>691.62165364797158</v>
      </c>
      <c r="N77" s="408">
        <v>2010</v>
      </c>
    </row>
    <row r="78" spans="1:18" ht="12.75" customHeight="1" x14ac:dyDescent="0.25">
      <c r="B78" s="97" t="s">
        <v>7</v>
      </c>
      <c r="C78" s="97" t="s">
        <v>7</v>
      </c>
      <c r="M78" s="132">
        <f>SUM(E81:E84)</f>
        <v>20748.649609439148</v>
      </c>
      <c r="N78" s="97">
        <v>2015</v>
      </c>
    </row>
    <row r="79" spans="1:18" ht="12.75" customHeight="1" x14ac:dyDescent="0.25">
      <c r="B79" s="130" t="s">
        <v>195</v>
      </c>
      <c r="M79" s="132">
        <f>SUM(F81:F84)</f>
        <v>107201.35631543558</v>
      </c>
      <c r="N79" s="97">
        <v>2020</v>
      </c>
    </row>
    <row r="80" spans="1:18" s="252" customFormat="1" ht="12.75" customHeight="1" x14ac:dyDescent="0.25">
      <c r="A80" s="252" t="s">
        <v>199</v>
      </c>
      <c r="B80" s="252" t="s">
        <v>200</v>
      </c>
      <c r="C80" s="252" t="s">
        <v>201</v>
      </c>
      <c r="D80" s="272">
        <f>D3/$O$81</f>
        <v>0.27548209366391185</v>
      </c>
      <c r="E80" s="272">
        <f t="shared" ref="E80:L80" si="52">E3/$O$81</f>
        <v>8.2644628099173563</v>
      </c>
      <c r="F80" s="272">
        <f t="shared" si="52"/>
        <v>42.69972451790634</v>
      </c>
      <c r="G80" s="272">
        <f t="shared" si="52"/>
        <v>55.096418732782368</v>
      </c>
      <c r="H80" s="272">
        <f t="shared" si="52"/>
        <v>72.451790633608823</v>
      </c>
      <c r="I80" s="272">
        <f t="shared" si="52"/>
        <v>82.644628099173559</v>
      </c>
      <c r="J80" s="272">
        <f t="shared" si="52"/>
        <v>89.256198347107443</v>
      </c>
      <c r="K80" s="272">
        <f t="shared" si="52"/>
        <v>96.418732782369148</v>
      </c>
      <c r="L80" s="272">
        <f t="shared" si="52"/>
        <v>102.14876033057851</v>
      </c>
      <c r="M80" s="392">
        <f>SUM(G81:G84)</f>
        <v>138324.33072959431</v>
      </c>
      <c r="N80" s="252">
        <v>2025</v>
      </c>
      <c r="O80" s="252" t="s">
        <v>228</v>
      </c>
    </row>
    <row r="81" spans="1:16" ht="12.75" customHeight="1" x14ac:dyDescent="0.25">
      <c r="A81" s="276">
        <f>abitabelid!F66</f>
        <v>1255.5000030718379</v>
      </c>
      <c r="B81" s="95" t="s">
        <v>202</v>
      </c>
      <c r="C81" s="95" t="s">
        <v>196</v>
      </c>
      <c r="D81" s="165">
        <f t="shared" ref="D81:L81" si="53">(D80*1000000)/$A$81</f>
        <v>219.42022540015014</v>
      </c>
      <c r="E81" s="165">
        <f t="shared" si="53"/>
        <v>6582.6067620045042</v>
      </c>
      <c r="F81" s="165">
        <f t="shared" si="53"/>
        <v>34010.134937023271</v>
      </c>
      <c r="G81" s="165">
        <f t="shared" si="53"/>
        <v>43884.045080030024</v>
      </c>
      <c r="H81" s="165">
        <f t="shared" si="53"/>
        <v>57707.519280239481</v>
      </c>
      <c r="I81" s="165">
        <f t="shared" si="53"/>
        <v>65826.06762004504</v>
      </c>
      <c r="J81" s="165">
        <f t="shared" si="53"/>
        <v>71092.153029648645</v>
      </c>
      <c r="K81" s="165">
        <f t="shared" si="53"/>
        <v>76797.078890052551</v>
      </c>
      <c r="L81" s="165">
        <f t="shared" si="53"/>
        <v>81361.019578375664</v>
      </c>
      <c r="M81" s="136">
        <f>SUM(L81:L84)</f>
        <v>256453.30917266785</v>
      </c>
      <c r="N81" s="97">
        <v>2050</v>
      </c>
      <c r="O81" s="115">
        <v>3.63</v>
      </c>
      <c r="P81" s="112">
        <f>L81+L82</f>
        <v>177563.13719059183</v>
      </c>
    </row>
    <row r="82" spans="1:16" s="252" customFormat="1" ht="12.75" customHeight="1" x14ac:dyDescent="0.25">
      <c r="B82" s="252" t="s">
        <v>203</v>
      </c>
      <c r="C82" s="252" t="s">
        <v>196</v>
      </c>
      <c r="D82" s="353">
        <f>((D3/$O$82)*1000000)/$A$81</f>
        <v>259.44476162949348</v>
      </c>
      <c r="E82" s="353">
        <f t="shared" ref="E82:L82" si="54">((E3/$O$82)*1000000)/$A$81</f>
        <v>7783.3428488848049</v>
      </c>
      <c r="F82" s="353">
        <f t="shared" si="54"/>
        <v>40213.938052571488</v>
      </c>
      <c r="G82" s="353">
        <f t="shared" si="54"/>
        <v>51888.952325898696</v>
      </c>
      <c r="H82" s="353">
        <f t="shared" si="54"/>
        <v>68233.972308556782</v>
      </c>
      <c r="I82" s="353">
        <f t="shared" si="54"/>
        <v>77833.428488848047</v>
      </c>
      <c r="J82" s="353">
        <f t="shared" si="54"/>
        <v>84060.10276795589</v>
      </c>
      <c r="K82" s="353">
        <f t="shared" si="54"/>
        <v>90805.666570322719</v>
      </c>
      <c r="L82" s="353">
        <f t="shared" si="54"/>
        <v>96202.117612216185</v>
      </c>
      <c r="M82" s="393">
        <f>SUM(K81:K84)</f>
        <v>242067.57877679003</v>
      </c>
      <c r="N82" s="394">
        <v>2045</v>
      </c>
      <c r="O82" s="248">
        <v>3.07</v>
      </c>
    </row>
    <row r="83" spans="1:16" ht="12.75" customHeight="1" x14ac:dyDescent="0.25">
      <c r="A83" s="274">
        <f>abitabelid!L69</f>
        <v>578.33999999999992</v>
      </c>
      <c r="B83" s="95" t="s">
        <v>204</v>
      </c>
      <c r="C83" s="95" t="s">
        <v>196</v>
      </c>
      <c r="D83" s="165">
        <f>((D3/$O$83)*1000000)/$A$83</f>
        <v>67.410787384286863</v>
      </c>
      <c r="E83" s="165">
        <f t="shared" ref="E83:L83" si="55">((E3/$O$83)*1000000)/$A$83</f>
        <v>2022.3236215286063</v>
      </c>
      <c r="F83" s="165">
        <f t="shared" si="55"/>
        <v>10448.672044564464</v>
      </c>
      <c r="G83" s="165">
        <f t="shared" si="55"/>
        <v>13482.157476857374</v>
      </c>
      <c r="H83" s="165">
        <f t="shared" si="55"/>
        <v>17729.037082067447</v>
      </c>
      <c r="I83" s="165">
        <f t="shared" si="55"/>
        <v>20223.236215286059</v>
      </c>
      <c r="J83" s="165">
        <f t="shared" si="55"/>
        <v>21841.095112508945</v>
      </c>
      <c r="K83" s="165">
        <f t="shared" si="55"/>
        <v>23593.775584500407</v>
      </c>
      <c r="L83" s="165">
        <f t="shared" si="55"/>
        <v>24995.919962093572</v>
      </c>
      <c r="M83" s="136">
        <f>SUM(J81:J84)</f>
        <v>224085.41578194278</v>
      </c>
      <c r="N83" s="112">
        <v>2040</v>
      </c>
      <c r="O83" s="115">
        <v>25.65</v>
      </c>
    </row>
    <row r="84" spans="1:16" ht="12.75" customHeight="1" x14ac:dyDescent="0.25">
      <c r="B84" s="97" t="s">
        <v>988</v>
      </c>
      <c r="C84" s="97" t="s">
        <v>196</v>
      </c>
      <c r="D84" s="112">
        <f>((D3/$O$84)*1000000)/$A$81</f>
        <v>145.34587923404104</v>
      </c>
      <c r="E84" s="112">
        <f t="shared" ref="E84:L84" si="56">((E3/$O$84)*1000000)/$A$81</f>
        <v>4360.3763770212308</v>
      </c>
      <c r="F84" s="112">
        <f t="shared" si="56"/>
        <v>22528.61128127636</v>
      </c>
      <c r="G84" s="112">
        <f t="shared" si="56"/>
        <v>29069.175846808201</v>
      </c>
      <c r="H84" s="112">
        <f t="shared" si="56"/>
        <v>38225.966238552792</v>
      </c>
      <c r="I84" s="112">
        <f t="shared" si="56"/>
        <v>43603.76377021231</v>
      </c>
      <c r="J84" s="112">
        <f t="shared" si="56"/>
        <v>47092.064871829301</v>
      </c>
      <c r="K84" s="112">
        <f t="shared" si="56"/>
        <v>50871.057731914363</v>
      </c>
      <c r="L84" s="112">
        <f t="shared" si="56"/>
        <v>53894.252019982421</v>
      </c>
      <c r="M84" s="108">
        <f>SUM(I81:I84)</f>
        <v>207486.49609439145</v>
      </c>
      <c r="N84" s="112">
        <v>2035</v>
      </c>
      <c r="O84" s="115">
        <v>5.48</v>
      </c>
    </row>
    <row r="85" spans="1:16" ht="12.75" customHeight="1" x14ac:dyDescent="0.25">
      <c r="M85" s="113">
        <f>SUM(H81:H84)</f>
        <v>181896.49490941651</v>
      </c>
      <c r="N85" s="97">
        <v>2030</v>
      </c>
      <c r="O85" s="97" t="s">
        <v>7</v>
      </c>
    </row>
    <row r="86" spans="1:16" ht="24" customHeight="1" x14ac:dyDescent="0.25">
      <c r="A86" s="279">
        <f>abitabelid!C158</f>
        <v>1.9038130387644455E-2</v>
      </c>
      <c r="B86" s="304" t="s">
        <v>851</v>
      </c>
      <c r="C86" s="95" t="s">
        <v>166</v>
      </c>
      <c r="D86" s="96">
        <f>($A$86*D3)+D87</f>
        <v>5.2611942384542087E-2</v>
      </c>
      <c r="E86" s="96">
        <f t="shared" ref="E86:L86" si="57">($A$86*E3)+E87</f>
        <v>1.5783582715362625</v>
      </c>
      <c r="F86" s="96">
        <f t="shared" si="57"/>
        <v>8.1548510696040246</v>
      </c>
      <c r="G86" s="96">
        <f t="shared" si="57"/>
        <v>10.522388476908418</v>
      </c>
      <c r="H86" s="96">
        <f t="shared" si="57"/>
        <v>13.836940847134571</v>
      </c>
      <c r="I86" s="96">
        <f t="shared" si="57"/>
        <v>15.783582715362627</v>
      </c>
      <c r="J86" s="96">
        <f t="shared" si="57"/>
        <v>17.046269332591638</v>
      </c>
      <c r="K86" s="96">
        <f t="shared" si="57"/>
        <v>18.414179834589731</v>
      </c>
      <c r="L86" s="96">
        <f t="shared" si="57"/>
        <v>19.508508236188209</v>
      </c>
      <c r="M86" s="134" t="s">
        <v>712</v>
      </c>
      <c r="N86" s="107">
        <f>E86+F86+G86</f>
        <v>20.255597818048706</v>
      </c>
    </row>
    <row r="87" spans="1:16" s="293" customFormat="1" ht="27" customHeight="1" x14ac:dyDescent="0.25">
      <c r="A87" s="289">
        <f>abitabelid!C189</f>
        <v>3.3573811996897636E-2</v>
      </c>
      <c r="B87" s="290" t="s">
        <v>882</v>
      </c>
      <c r="C87" s="95" t="s">
        <v>166</v>
      </c>
      <c r="D87" s="291">
        <f>$A$87*D3</f>
        <v>3.3573811996897636E-2</v>
      </c>
      <c r="E87" s="291">
        <f t="shared" ref="E87:L87" si="58">$A$87*E3</f>
        <v>1.007214359906929</v>
      </c>
      <c r="F87" s="291">
        <f t="shared" si="58"/>
        <v>5.2039408595191334</v>
      </c>
      <c r="G87" s="291">
        <f t="shared" si="58"/>
        <v>6.7147623993795271</v>
      </c>
      <c r="H87" s="291">
        <f t="shared" si="58"/>
        <v>8.8299125551840785</v>
      </c>
      <c r="I87" s="291">
        <f t="shared" si="58"/>
        <v>10.072143599069291</v>
      </c>
      <c r="J87" s="291">
        <f t="shared" si="58"/>
        <v>10.877915086994834</v>
      </c>
      <c r="K87" s="291">
        <f t="shared" si="58"/>
        <v>11.750834198914173</v>
      </c>
      <c r="L87" s="291">
        <f t="shared" si="58"/>
        <v>12.449169488449645</v>
      </c>
      <c r="M87" s="292"/>
    </row>
    <row r="88" spans="1:16" ht="12.75" customHeight="1" x14ac:dyDescent="0.25">
      <c r="A88" s="280">
        <f>-abitabelid!B154</f>
        <v>-2851.1502916693971</v>
      </c>
      <c r="B88" s="97" t="s">
        <v>208</v>
      </c>
      <c r="C88" s="97" t="s">
        <v>209</v>
      </c>
      <c r="D88" s="112">
        <f t="shared" ref="D88:L88" si="59">$A$88*D3</f>
        <v>-2851.1502916693971</v>
      </c>
      <c r="E88" s="112">
        <f t="shared" si="59"/>
        <v>-85534.508750081906</v>
      </c>
      <c r="F88" s="112">
        <f t="shared" si="59"/>
        <v>-441928.29520875658</v>
      </c>
      <c r="G88" s="360">
        <f t="shared" si="59"/>
        <v>-570230.05833387945</v>
      </c>
      <c r="H88" s="112">
        <f t="shared" si="59"/>
        <v>-749852.52670905145</v>
      </c>
      <c r="I88" s="112">
        <f t="shared" si="59"/>
        <v>-855345.08750081912</v>
      </c>
      <c r="J88" s="112">
        <f t="shared" si="59"/>
        <v>-923772.69450088462</v>
      </c>
      <c r="K88" s="112">
        <f t="shared" si="59"/>
        <v>-997902.60208428896</v>
      </c>
      <c r="L88" s="112">
        <f t="shared" si="59"/>
        <v>-1057206.5281510125</v>
      </c>
      <c r="M88" s="108" t="s">
        <v>713</v>
      </c>
    </row>
    <row r="89" spans="1:16" ht="12.75" customHeight="1" x14ac:dyDescent="0.25">
      <c r="A89" s="280">
        <f>abitabelid!F154</f>
        <v>1568.1326604181686</v>
      </c>
      <c r="B89" s="97" t="s">
        <v>7</v>
      </c>
      <c r="E89" s="112">
        <f t="shared" ref="E89:L89" si="60">$A$89*E3</f>
        <v>47043.979812545062</v>
      </c>
      <c r="F89" s="112">
        <f t="shared" si="60"/>
        <v>243060.56236481614</v>
      </c>
      <c r="G89" s="360">
        <f t="shared" si="60"/>
        <v>313626.53208363371</v>
      </c>
      <c r="H89" s="112">
        <f t="shared" si="60"/>
        <v>412418.88968997833</v>
      </c>
      <c r="I89" s="112">
        <f t="shared" si="60"/>
        <v>470439.79812545056</v>
      </c>
      <c r="J89" s="112">
        <f t="shared" si="60"/>
        <v>508074.98197548662</v>
      </c>
      <c r="K89" s="112">
        <f t="shared" si="60"/>
        <v>548846.43114635895</v>
      </c>
      <c r="L89" s="112">
        <f t="shared" si="60"/>
        <v>581463.59048305696</v>
      </c>
      <c r="M89" s="108"/>
    </row>
    <row r="90" spans="1:16" ht="12.75" customHeight="1" x14ac:dyDescent="0.25">
      <c r="A90" s="274" t="s">
        <v>211</v>
      </c>
    </row>
    <row r="91" spans="1:16" ht="12.75" customHeight="1" x14ac:dyDescent="0.25">
      <c r="A91" s="274">
        <f>abitabelid!B177</f>
        <v>83.8</v>
      </c>
      <c r="B91" s="97" t="s">
        <v>212</v>
      </c>
      <c r="C91" s="97" t="s">
        <v>65</v>
      </c>
      <c r="D91" s="97">
        <f>'kütuste tarbimine EE'!C6+'kütuste tarbimine EE'!C7</f>
        <v>29658</v>
      </c>
      <c r="E91" s="97">
        <f>'kütuste tarbimine EE'!D6+'kütuste tarbimine EE'!D7</f>
        <v>30505.144790424099</v>
      </c>
      <c r="F91" s="97">
        <f>'kütuste tarbimine EE'!E6+'kütuste tarbimine EE'!E7</f>
        <v>26790.915284128507</v>
      </c>
      <c r="G91" s="198">
        <f>'kütuste tarbimine EE'!F6+'kütuste tarbimine EE'!F7</f>
        <v>22257.868043989209</v>
      </c>
      <c r="H91" s="97">
        <f>'kütuste tarbimine EE'!G6+'kütuste tarbimine EE'!G7</f>
        <v>17724.820803849914</v>
      </c>
      <c r="I91" s="97">
        <f>'kütuste tarbimine EE'!H6+'kütuste tarbimine EE'!H7</f>
        <v>14811.297539860303</v>
      </c>
      <c r="J91" s="97">
        <f>'kütuste tarbimine EE'!I6+'kütuste tarbimine EE'!I7</f>
        <v>11897.774275870692</v>
      </c>
      <c r="K91" s="97">
        <f>'kütuste tarbimine EE'!J6+'kütuste tarbimine EE'!J7</f>
        <v>10441.012643875889</v>
      </c>
      <c r="L91" s="97">
        <f>'kütuste tarbimine EE'!K6+'kütuste tarbimine EE'!K7</f>
        <v>6070.727747891473</v>
      </c>
    </row>
    <row r="92" spans="1:16" ht="12.75" customHeight="1" x14ac:dyDescent="0.25">
      <c r="A92" s="274" t="s">
        <v>7</v>
      </c>
      <c r="B92" s="97" t="s">
        <v>213</v>
      </c>
      <c r="C92" s="97" t="s">
        <v>214</v>
      </c>
      <c r="D92" s="112">
        <f t="shared" ref="D92:L92" si="61">D91*$A$91</f>
        <v>2485340.4</v>
      </c>
      <c r="E92" s="112">
        <f t="shared" si="61"/>
        <v>2556331.1334375395</v>
      </c>
      <c r="F92" s="112">
        <f t="shared" si="61"/>
        <v>2245078.7008099686</v>
      </c>
      <c r="G92" s="360">
        <f t="shared" si="61"/>
        <v>1865209.3420862956</v>
      </c>
      <c r="H92" s="112">
        <f t="shared" si="61"/>
        <v>1485339.9833626228</v>
      </c>
      <c r="I92" s="112">
        <f t="shared" si="61"/>
        <v>1241186.7338402933</v>
      </c>
      <c r="J92" s="112">
        <f t="shared" si="61"/>
        <v>997033.48431796394</v>
      </c>
      <c r="K92" s="112">
        <f t="shared" si="61"/>
        <v>874956.85955679941</v>
      </c>
      <c r="L92" s="112">
        <f t="shared" si="61"/>
        <v>508726.98527330544</v>
      </c>
      <c r="M92" s="108" t="s">
        <v>613</v>
      </c>
    </row>
    <row r="93" spans="1:16" ht="52.8" x14ac:dyDescent="0.25">
      <c r="A93" s="281">
        <f>abitabelid!B178</f>
        <v>18</v>
      </c>
      <c r="B93" s="253" t="s">
        <v>215</v>
      </c>
      <c r="C93" s="253" t="s">
        <v>214</v>
      </c>
      <c r="D93" s="254">
        <f>$A$93*D11</f>
        <v>648</v>
      </c>
      <c r="E93" s="254">
        <f t="shared" ref="E93:L93" si="62">$A$93*E11</f>
        <v>19440</v>
      </c>
      <c r="F93" s="254">
        <f t="shared" si="62"/>
        <v>100440</v>
      </c>
      <c r="G93" s="254">
        <f t="shared" si="62"/>
        <v>129600</v>
      </c>
      <c r="H93" s="254">
        <f t="shared" si="62"/>
        <v>170424</v>
      </c>
      <c r="I93" s="254">
        <f t="shared" si="62"/>
        <v>194400</v>
      </c>
      <c r="J93" s="254">
        <f t="shared" si="62"/>
        <v>209952</v>
      </c>
      <c r="K93" s="254">
        <f t="shared" si="62"/>
        <v>226800</v>
      </c>
      <c r="L93" s="254">
        <f t="shared" si="62"/>
        <v>240278.40000000002</v>
      </c>
      <c r="M93" s="142"/>
      <c r="N93" s="97" t="s">
        <v>7</v>
      </c>
      <c r="O93" s="97" t="s">
        <v>7</v>
      </c>
      <c r="P93" s="97" t="s">
        <v>7</v>
      </c>
    </row>
    <row r="94" spans="1:16" ht="13.2" x14ac:dyDescent="0.25">
      <c r="A94" s="281"/>
      <c r="B94" s="313" t="s">
        <v>795</v>
      </c>
      <c r="C94" s="313" t="s">
        <v>102</v>
      </c>
      <c r="D94" s="254">
        <f>abitabelid!D213</f>
        <v>7.2</v>
      </c>
      <c r="E94" s="254">
        <f>abitabelid!B219</f>
        <v>10.125</v>
      </c>
      <c r="F94" s="254">
        <f>abitabelid!B224</f>
        <v>15</v>
      </c>
      <c r="G94" s="375">
        <f>abitabelid!B229</f>
        <v>19.875</v>
      </c>
      <c r="H94" s="254">
        <f>abitabelid!B234</f>
        <v>24.75</v>
      </c>
      <c r="I94" s="254">
        <f>abitabelid!B239</f>
        <v>30</v>
      </c>
      <c r="J94" s="254">
        <f>abitabelid!B244</f>
        <v>35</v>
      </c>
      <c r="K94" s="254">
        <f>abitabelid!B249</f>
        <v>40</v>
      </c>
      <c r="L94" s="254">
        <f>abitabelid!B254</f>
        <v>45</v>
      </c>
      <c r="M94" s="142"/>
    </row>
    <row r="95" spans="1:16" ht="13.2" x14ac:dyDescent="0.25">
      <c r="A95" s="281"/>
      <c r="B95" s="313" t="s">
        <v>796</v>
      </c>
      <c r="C95" s="253"/>
      <c r="D95" s="254">
        <f>D94*D93</f>
        <v>4665.6000000000004</v>
      </c>
      <c r="E95" s="254">
        <f>E94*E93</f>
        <v>196830</v>
      </c>
      <c r="F95" s="254">
        <f t="shared" ref="F95:L95" si="63">F94*F93</f>
        <v>1506600</v>
      </c>
      <c r="G95" s="254">
        <f t="shared" si="63"/>
        <v>2575800</v>
      </c>
      <c r="H95" s="254">
        <f t="shared" si="63"/>
        <v>4217994</v>
      </c>
      <c r="I95" s="254">
        <f t="shared" si="63"/>
        <v>5832000</v>
      </c>
      <c r="J95" s="254">
        <f t="shared" si="63"/>
        <v>7348320</v>
      </c>
      <c r="K95" s="254">
        <f t="shared" si="63"/>
        <v>9072000</v>
      </c>
      <c r="L95" s="254">
        <f t="shared" si="63"/>
        <v>10812528.000000002</v>
      </c>
      <c r="M95" s="142"/>
    </row>
    <row r="96" spans="1:16" ht="12.75" customHeight="1" x14ac:dyDescent="0.25">
      <c r="A96" s="274" t="s">
        <v>7</v>
      </c>
      <c r="D96" s="97" t="s">
        <v>7</v>
      </c>
    </row>
    <row r="97" spans="1:16" ht="24" customHeight="1" x14ac:dyDescent="0.25">
      <c r="B97" s="262" t="s">
        <v>722</v>
      </c>
      <c r="E97" s="396">
        <f>E107+E108+E115</f>
        <v>37.482276356405052</v>
      </c>
      <c r="F97" s="396">
        <f t="shared" ref="F97:L97" si="64">F107+F108+F115</f>
        <v>159.47084230131819</v>
      </c>
      <c r="G97" s="396">
        <f t="shared" si="64"/>
        <v>197.62647916032552</v>
      </c>
      <c r="H97" s="396">
        <f t="shared" si="64"/>
        <v>235.38814084713462</v>
      </c>
      <c r="I97" s="396">
        <f t="shared" si="64"/>
        <v>268.50358271536265</v>
      </c>
      <c r="J97" s="396">
        <f t="shared" si="64"/>
        <v>289.98386933259167</v>
      </c>
      <c r="K97" s="396">
        <f t="shared" si="64"/>
        <v>313.25417983458976</v>
      </c>
      <c r="L97" s="396">
        <f t="shared" si="64"/>
        <v>331.87042823618827</v>
      </c>
      <c r="N97" s="107" t="s">
        <v>7</v>
      </c>
      <c r="O97" s="115" t="s">
        <v>7</v>
      </c>
      <c r="P97" s="107" t="s">
        <v>7</v>
      </c>
    </row>
    <row r="98" spans="1:16" ht="12.75" customHeight="1" x14ac:dyDescent="0.3">
      <c r="A98" s="282"/>
      <c r="B98" s="176"/>
      <c r="C98" s="90" t="s">
        <v>143</v>
      </c>
      <c r="D98" s="90"/>
      <c r="E98" s="90">
        <v>2015</v>
      </c>
      <c r="F98" s="90">
        <v>2020</v>
      </c>
      <c r="G98" s="376">
        <v>2025</v>
      </c>
      <c r="H98" s="90">
        <v>2030</v>
      </c>
      <c r="I98" s="90">
        <v>2035</v>
      </c>
      <c r="J98" s="90">
        <v>2040</v>
      </c>
      <c r="K98" s="90">
        <v>2045</v>
      </c>
      <c r="L98" s="90">
        <v>2050</v>
      </c>
    </row>
    <row r="99" spans="1:16" ht="12.75" customHeight="1" x14ac:dyDescent="0.3">
      <c r="A99" s="282"/>
      <c r="B99" s="91" t="s">
        <v>609</v>
      </c>
      <c r="C99" s="92" t="s">
        <v>65</v>
      </c>
      <c r="D99" s="166"/>
      <c r="E99" s="166">
        <f t="shared" ref="E99:L99" si="65">E58*1000</f>
        <v>381.76069638469636</v>
      </c>
      <c r="F99" s="166">
        <f t="shared" si="65"/>
        <v>1972.4302646542646</v>
      </c>
      <c r="G99" s="377">
        <f t="shared" si="65"/>
        <v>2545.071309231309</v>
      </c>
      <c r="H99" s="166">
        <f t="shared" si="65"/>
        <v>3346.7687716391715</v>
      </c>
      <c r="I99" s="166">
        <f t="shared" si="65"/>
        <v>3817.6069638469639</v>
      </c>
      <c r="J99" s="166">
        <f t="shared" si="65"/>
        <v>4123.0155209547211</v>
      </c>
      <c r="K99" s="166">
        <f t="shared" si="65"/>
        <v>4453.8747911547907</v>
      </c>
      <c r="L99" s="166">
        <f t="shared" si="65"/>
        <v>4718.5622073148479</v>
      </c>
      <c r="N99" s="115" t="s">
        <v>7</v>
      </c>
      <c r="O99" s="97" t="s">
        <v>7</v>
      </c>
    </row>
    <row r="100" spans="1:16" ht="12.75" customHeight="1" x14ac:dyDescent="0.3">
      <c r="A100" s="282"/>
      <c r="B100" s="92" t="s">
        <v>717</v>
      </c>
      <c r="C100" s="92" t="s">
        <v>181</v>
      </c>
      <c r="D100" s="92"/>
      <c r="E100" s="92">
        <f>SUM(E101:E106)</f>
        <v>37.482276356405052</v>
      </c>
      <c r="F100" s="92">
        <f t="shared" ref="F100:L100" si="66">SUM(F101:F106)</f>
        <v>159.47084230131819</v>
      </c>
      <c r="G100" s="239">
        <f t="shared" si="66"/>
        <v>197.62647916032552</v>
      </c>
      <c r="H100" s="92">
        <f t="shared" si="66"/>
        <v>235.38814084713462</v>
      </c>
      <c r="I100" s="92">
        <f t="shared" si="66"/>
        <v>268.50358271536265</v>
      </c>
      <c r="J100" s="92">
        <f t="shared" si="66"/>
        <v>289.98386933259167</v>
      </c>
      <c r="K100" s="92">
        <f t="shared" si="66"/>
        <v>313.25417983458976</v>
      </c>
      <c r="L100" s="92">
        <f t="shared" si="66"/>
        <v>331.87042823618827</v>
      </c>
      <c r="O100" s="97" t="s">
        <v>7</v>
      </c>
    </row>
    <row r="101" spans="1:16" ht="12.75" customHeight="1" x14ac:dyDescent="0.3">
      <c r="A101" s="282"/>
      <c r="B101" s="93" t="s">
        <v>736</v>
      </c>
      <c r="C101" s="92" t="s">
        <v>181</v>
      </c>
      <c r="D101" s="92"/>
      <c r="E101" s="92">
        <f t="shared" ref="E101:L105" si="67">E62</f>
        <v>4.2</v>
      </c>
      <c r="F101" s="92">
        <f t="shared" si="67"/>
        <v>21.700000000000003</v>
      </c>
      <c r="G101" s="239">
        <f t="shared" si="67"/>
        <v>28.000000000000004</v>
      </c>
      <c r="H101" s="92">
        <f t="shared" si="67"/>
        <v>36.82</v>
      </c>
      <c r="I101" s="92">
        <f t="shared" si="67"/>
        <v>42.000000000000007</v>
      </c>
      <c r="J101" s="92">
        <f t="shared" si="67"/>
        <v>45.360000000000007</v>
      </c>
      <c r="K101" s="92">
        <f t="shared" si="67"/>
        <v>49.000000000000007</v>
      </c>
      <c r="L101" s="92">
        <f t="shared" si="67"/>
        <v>51.912000000000006</v>
      </c>
    </row>
    <row r="102" spans="1:16" ht="12.75" customHeight="1" x14ac:dyDescent="0.3">
      <c r="A102" s="282"/>
      <c r="B102" s="93" t="s">
        <v>590</v>
      </c>
      <c r="C102" s="92" t="s">
        <v>181</v>
      </c>
      <c r="D102" s="92"/>
      <c r="E102" s="92">
        <f t="shared" si="67"/>
        <v>5.1000000000000005</v>
      </c>
      <c r="F102" s="92">
        <f t="shared" si="67"/>
        <v>26.35</v>
      </c>
      <c r="G102" s="239">
        <f t="shared" si="67"/>
        <v>34</v>
      </c>
      <c r="H102" s="92">
        <f t="shared" si="67"/>
        <v>44.71</v>
      </c>
      <c r="I102" s="92">
        <f t="shared" si="67"/>
        <v>51.000000000000007</v>
      </c>
      <c r="J102" s="92">
        <f t="shared" si="67"/>
        <v>55.080000000000005</v>
      </c>
      <c r="K102" s="92">
        <f t="shared" si="67"/>
        <v>59.500000000000007</v>
      </c>
      <c r="L102" s="92">
        <f t="shared" si="67"/>
        <v>63.036000000000008</v>
      </c>
    </row>
    <row r="103" spans="1:16" ht="12.75" customHeight="1" x14ac:dyDescent="0.3">
      <c r="A103" s="282"/>
      <c r="B103" s="93" t="s">
        <v>737</v>
      </c>
      <c r="C103" s="92" t="s">
        <v>181</v>
      </c>
      <c r="D103" s="92"/>
      <c r="E103" s="92">
        <f t="shared" si="67"/>
        <v>6.3</v>
      </c>
      <c r="F103" s="92">
        <f t="shared" si="67"/>
        <v>32.549999999999997</v>
      </c>
      <c r="G103" s="239">
        <f t="shared" si="67"/>
        <v>42</v>
      </c>
      <c r="H103" s="92">
        <f t="shared" si="67"/>
        <v>55.23</v>
      </c>
      <c r="I103" s="92">
        <f t="shared" si="67"/>
        <v>63</v>
      </c>
      <c r="J103" s="92">
        <f t="shared" si="67"/>
        <v>68.039999999999992</v>
      </c>
      <c r="K103" s="92">
        <f t="shared" si="67"/>
        <v>73.5</v>
      </c>
      <c r="L103" s="92">
        <f t="shared" si="67"/>
        <v>77.867999999999995</v>
      </c>
    </row>
    <row r="104" spans="1:16" ht="12.75" customHeight="1" x14ac:dyDescent="0.3">
      <c r="A104" s="282"/>
      <c r="B104" s="93" t="s">
        <v>738</v>
      </c>
      <c r="C104" s="92" t="s">
        <v>181</v>
      </c>
      <c r="D104" s="92"/>
      <c r="E104" s="92">
        <f t="shared" si="67"/>
        <v>4.2</v>
      </c>
      <c r="F104" s="92">
        <f t="shared" si="67"/>
        <v>21.700000000000003</v>
      </c>
      <c r="G104" s="239">
        <f t="shared" si="67"/>
        <v>28.000000000000004</v>
      </c>
      <c r="H104" s="92">
        <f t="shared" si="67"/>
        <v>36.82</v>
      </c>
      <c r="I104" s="92">
        <f t="shared" si="67"/>
        <v>42.000000000000007</v>
      </c>
      <c r="J104" s="92">
        <f t="shared" si="67"/>
        <v>45.360000000000007</v>
      </c>
      <c r="K104" s="92">
        <f t="shared" si="67"/>
        <v>49.000000000000007</v>
      </c>
      <c r="L104" s="92">
        <f t="shared" si="67"/>
        <v>51.912000000000006</v>
      </c>
    </row>
    <row r="105" spans="1:16" ht="12.75" customHeight="1" x14ac:dyDescent="0.3">
      <c r="A105" s="282"/>
      <c r="B105" s="93" t="s">
        <v>628</v>
      </c>
      <c r="C105" s="92" t="s">
        <v>181</v>
      </c>
      <c r="D105" s="92"/>
      <c r="E105" s="92">
        <f t="shared" si="67"/>
        <v>3.9000000000000004</v>
      </c>
      <c r="F105" s="92">
        <f t="shared" si="67"/>
        <v>20.150000000000002</v>
      </c>
      <c r="G105" s="239">
        <f t="shared" si="67"/>
        <v>26</v>
      </c>
      <c r="H105" s="92">
        <f t="shared" si="67"/>
        <v>34.19</v>
      </c>
      <c r="I105" s="92">
        <f t="shared" si="67"/>
        <v>39</v>
      </c>
      <c r="J105" s="92">
        <f t="shared" si="67"/>
        <v>42.120000000000005</v>
      </c>
      <c r="K105" s="92">
        <f t="shared" si="67"/>
        <v>45.5</v>
      </c>
      <c r="L105" s="92">
        <f t="shared" si="67"/>
        <v>48.204000000000001</v>
      </c>
      <c r="M105" s="268" t="s">
        <v>629</v>
      </c>
    </row>
    <row r="106" spans="1:16" ht="12.75" customHeight="1" x14ac:dyDescent="0.3">
      <c r="A106" s="282"/>
      <c r="B106" s="257" t="s">
        <v>631</v>
      </c>
      <c r="C106" s="92" t="s">
        <v>181</v>
      </c>
      <c r="D106" s="92"/>
      <c r="E106" s="245">
        <f>(E107+E108+E115)-SUM(E101:E105)</f>
        <v>13.782276356405049</v>
      </c>
      <c r="F106" s="245">
        <f t="shared" ref="F106:L106" si="68">(F107+F108+F115)-SUM(F101:F105)</f>
        <v>37.020842301318183</v>
      </c>
      <c r="G106" s="239">
        <f t="shared" si="68"/>
        <v>39.626479160325516</v>
      </c>
      <c r="H106" s="245">
        <f t="shared" si="68"/>
        <v>27.61814084713464</v>
      </c>
      <c r="I106" s="245">
        <f t="shared" si="68"/>
        <v>31.503582715362654</v>
      </c>
      <c r="J106" s="245">
        <f t="shared" si="68"/>
        <v>34.02386933259163</v>
      </c>
      <c r="K106" s="245">
        <f t="shared" si="68"/>
        <v>36.754179834589763</v>
      </c>
      <c r="L106" s="245">
        <f t="shared" si="68"/>
        <v>38.938428236188258</v>
      </c>
      <c r="M106" s="252" t="s">
        <v>724</v>
      </c>
    </row>
    <row r="107" spans="1:16" ht="12.75" customHeight="1" x14ac:dyDescent="0.3">
      <c r="A107" s="282"/>
      <c r="B107" s="91" t="s">
        <v>597</v>
      </c>
      <c r="C107" s="92" t="s">
        <v>181</v>
      </c>
      <c r="D107" s="92"/>
      <c r="E107" s="92">
        <f t="shared" ref="E107:L107" si="69">E86</f>
        <v>1.5783582715362625</v>
      </c>
      <c r="F107" s="92">
        <f t="shared" si="69"/>
        <v>8.1548510696040246</v>
      </c>
      <c r="G107" s="239">
        <f t="shared" si="69"/>
        <v>10.522388476908418</v>
      </c>
      <c r="H107" s="92">
        <f t="shared" si="69"/>
        <v>13.836940847134571</v>
      </c>
      <c r="I107" s="92">
        <f t="shared" si="69"/>
        <v>15.783582715362627</v>
      </c>
      <c r="J107" s="92">
        <f t="shared" si="69"/>
        <v>17.046269332591638</v>
      </c>
      <c r="K107" s="92">
        <f t="shared" si="69"/>
        <v>18.414179834589731</v>
      </c>
      <c r="L107" s="92">
        <f t="shared" si="69"/>
        <v>19.508508236188209</v>
      </c>
      <c r="M107" s="507" t="s">
        <v>986</v>
      </c>
    </row>
    <row r="108" spans="1:16" ht="12.75" customHeight="1" x14ac:dyDescent="0.3">
      <c r="A108" s="282"/>
      <c r="B108" s="92" t="s">
        <v>592</v>
      </c>
      <c r="C108" s="92" t="s">
        <v>181</v>
      </c>
      <c r="D108" s="92"/>
      <c r="E108" s="92">
        <f>E48</f>
        <v>25.272000000000006</v>
      </c>
      <c r="F108" s="92">
        <f t="shared" ref="F108:L108" si="70">F48</f>
        <v>130.57200000000003</v>
      </c>
      <c r="G108" s="92">
        <f t="shared" si="70"/>
        <v>168.48000000000002</v>
      </c>
      <c r="H108" s="92">
        <f t="shared" si="70"/>
        <v>221.55120000000005</v>
      </c>
      <c r="I108" s="92">
        <f t="shared" si="70"/>
        <v>252.72000000000003</v>
      </c>
      <c r="J108" s="92">
        <f t="shared" si="70"/>
        <v>272.93760000000003</v>
      </c>
      <c r="K108" s="92">
        <f t="shared" si="70"/>
        <v>294.84000000000003</v>
      </c>
      <c r="L108" s="92">
        <f t="shared" si="70"/>
        <v>312.36192000000005</v>
      </c>
    </row>
    <row r="109" spans="1:16" ht="12.75" customHeight="1" x14ac:dyDescent="0.3">
      <c r="A109" s="282"/>
      <c r="B109" s="92" t="s">
        <v>189</v>
      </c>
      <c r="C109" s="92" t="s">
        <v>181</v>
      </c>
      <c r="D109" s="92"/>
      <c r="E109" s="92">
        <f>SUM(E110:E113)</f>
        <v>131.82739295726498</v>
      </c>
      <c r="F109" s="92">
        <f t="shared" ref="F109:L109" si="71">SUM(F110:F113)</f>
        <v>568.2215213675214</v>
      </c>
      <c r="G109" s="239">
        <f t="shared" si="71"/>
        <v>204.5597476923077</v>
      </c>
      <c r="H109" s="92">
        <f t="shared" si="71"/>
        <v>286.38364676923072</v>
      </c>
      <c r="I109" s="92">
        <f t="shared" si="71"/>
        <v>168.19357032478632</v>
      </c>
      <c r="J109" s="92">
        <f t="shared" si="71"/>
        <v>109.09853210256409</v>
      </c>
      <c r="K109" s="92">
        <f t="shared" si="71"/>
        <v>118.19007644444444</v>
      </c>
      <c r="L109" s="92">
        <f t="shared" si="71"/>
        <v>94.552061155555606</v>
      </c>
      <c r="M109" s="395">
        <f>SUM(E109:L109)</f>
        <v>1681.0265488136754</v>
      </c>
    </row>
    <row r="110" spans="1:16" ht="12.75" customHeight="1" x14ac:dyDescent="0.3">
      <c r="A110" s="282"/>
      <c r="B110" s="93" t="s">
        <v>190</v>
      </c>
      <c r="C110" s="92" t="s">
        <v>181</v>
      </c>
      <c r="D110" s="92"/>
      <c r="E110" s="92">
        <f t="shared" ref="E110:L113" si="72">E70</f>
        <v>24.603368</v>
      </c>
      <c r="F110" s="92">
        <f t="shared" si="72"/>
        <v>106.04900000000001</v>
      </c>
      <c r="G110" s="239">
        <f t="shared" si="72"/>
        <v>38.177639999999997</v>
      </c>
      <c r="H110" s="92">
        <f t="shared" si="72"/>
        <v>53.448695999999998</v>
      </c>
      <c r="I110" s="92">
        <f t="shared" si="72"/>
        <v>31.390504</v>
      </c>
      <c r="J110" s="92">
        <f t="shared" si="72"/>
        <v>20.361408000000001</v>
      </c>
      <c r="K110" s="92">
        <f t="shared" si="72"/>
        <v>22.058191999999998</v>
      </c>
      <c r="L110" s="92">
        <f t="shared" si="72"/>
        <v>17.646553600000008</v>
      </c>
    </row>
    <row r="111" spans="1:16" ht="12.75" customHeight="1" x14ac:dyDescent="0.3">
      <c r="A111" s="282"/>
      <c r="B111" s="93" t="s">
        <v>192</v>
      </c>
      <c r="C111" s="92" t="s">
        <v>181</v>
      </c>
      <c r="D111" s="92"/>
      <c r="E111" s="92">
        <f t="shared" si="72"/>
        <v>81.995760000000004</v>
      </c>
      <c r="F111" s="92">
        <f t="shared" si="72"/>
        <v>353.43</v>
      </c>
      <c r="G111" s="239">
        <f t="shared" si="72"/>
        <v>127.23480000000001</v>
      </c>
      <c r="H111" s="92">
        <f t="shared" si="72"/>
        <v>178.12871999999999</v>
      </c>
      <c r="I111" s="92">
        <f t="shared" si="72"/>
        <v>104.61528</v>
      </c>
      <c r="J111" s="92">
        <f t="shared" si="72"/>
        <v>67.858559999999997</v>
      </c>
      <c r="K111" s="92">
        <f t="shared" si="72"/>
        <v>73.513440000000003</v>
      </c>
      <c r="L111" s="92">
        <f t="shared" si="72"/>
        <v>58.810752000000029</v>
      </c>
    </row>
    <row r="112" spans="1:16" ht="12.75" customHeight="1" x14ac:dyDescent="0.3">
      <c r="A112" s="282"/>
      <c r="B112" s="93" t="s">
        <v>193</v>
      </c>
      <c r="C112" s="92" t="s">
        <v>181</v>
      </c>
      <c r="D112" s="92"/>
      <c r="E112" s="92">
        <f t="shared" si="72"/>
        <v>14.5</v>
      </c>
      <c r="F112" s="92">
        <f t="shared" si="72"/>
        <v>62.5</v>
      </c>
      <c r="G112" s="239">
        <f t="shared" si="72"/>
        <v>22.5</v>
      </c>
      <c r="H112" s="92">
        <f t="shared" si="72"/>
        <v>31.5</v>
      </c>
      <c r="I112" s="92">
        <f t="shared" si="72"/>
        <v>18.5</v>
      </c>
      <c r="J112" s="92">
        <f t="shared" si="72"/>
        <v>12</v>
      </c>
      <c r="K112" s="92">
        <f t="shared" si="72"/>
        <v>13</v>
      </c>
      <c r="L112" s="92">
        <f t="shared" si="72"/>
        <v>10.400000000000006</v>
      </c>
      <c r="M112" s="256" t="s">
        <v>719</v>
      </c>
    </row>
    <row r="113" spans="1:14" ht="12.75" customHeight="1" x14ac:dyDescent="0.3">
      <c r="A113" s="282"/>
      <c r="B113" s="93" t="s">
        <v>194</v>
      </c>
      <c r="C113" s="92" t="s">
        <v>181</v>
      </c>
      <c r="D113" s="92"/>
      <c r="E113" s="92">
        <f t="shared" si="72"/>
        <v>10.728264957264958</v>
      </c>
      <c r="F113" s="92">
        <f t="shared" si="72"/>
        <v>46.24252136752137</v>
      </c>
      <c r="G113" s="239">
        <f t="shared" si="72"/>
        <v>16.647307692307692</v>
      </c>
      <c r="H113" s="92">
        <f t="shared" si="72"/>
        <v>23.306230769230769</v>
      </c>
      <c r="I113" s="92">
        <f t="shared" si="72"/>
        <v>13.687786324786323</v>
      </c>
      <c r="J113" s="92">
        <f t="shared" si="72"/>
        <v>8.878564102564102</v>
      </c>
      <c r="K113" s="92">
        <f t="shared" si="72"/>
        <v>9.6184444444444441</v>
      </c>
      <c r="L113" s="92">
        <f t="shared" si="72"/>
        <v>7.6947555555555596</v>
      </c>
    </row>
    <row r="114" spans="1:14" ht="30" customHeight="1" x14ac:dyDescent="0.3">
      <c r="A114" s="282"/>
      <c r="B114" s="245" t="s">
        <v>730</v>
      </c>
      <c r="C114" s="245" t="s">
        <v>181</v>
      </c>
      <c r="D114" s="245"/>
      <c r="E114" s="245">
        <f t="shared" ref="E114:L114" si="73">E42+E107</f>
        <v>4.7834282715362626</v>
      </c>
      <c r="F114" s="245">
        <f t="shared" si="73"/>
        <v>115.11261106960401</v>
      </c>
      <c r="G114" s="245">
        <f t="shared" si="73"/>
        <v>108.48247447690841</v>
      </c>
      <c r="H114" s="245">
        <f t="shared" si="73"/>
        <v>123.78358084713459</v>
      </c>
      <c r="I114" s="245">
        <f t="shared" si="73"/>
        <v>177.28758271536265</v>
      </c>
      <c r="J114" s="245">
        <f t="shared" si="73"/>
        <v>218.12380133259168</v>
      </c>
      <c r="K114" s="245">
        <f t="shared" si="73"/>
        <v>260.49737983458971</v>
      </c>
      <c r="L114" s="245">
        <f t="shared" si="73"/>
        <v>305.38750043618825</v>
      </c>
      <c r="M114" s="252" t="s">
        <v>899</v>
      </c>
    </row>
    <row r="115" spans="1:14" ht="12.75" customHeight="1" x14ac:dyDescent="0.3">
      <c r="A115" s="282"/>
      <c r="B115" s="92" t="s">
        <v>594</v>
      </c>
      <c r="C115" s="92" t="s">
        <v>181</v>
      </c>
      <c r="D115" s="92"/>
      <c r="E115" s="92">
        <f>E38+E77</f>
        <v>10.631918084868786</v>
      </c>
      <c r="F115" s="92">
        <f t="shared" ref="F115:L115" si="74">F38+F77</f>
        <v>20.743991231714126</v>
      </c>
      <c r="G115" s="92">
        <f t="shared" si="74"/>
        <v>18.624090683417091</v>
      </c>
      <c r="H115" s="92">
        <f t="shared" si="74"/>
        <v>0</v>
      </c>
      <c r="I115" s="92">
        <f t="shared" si="74"/>
        <v>0</v>
      </c>
      <c r="J115" s="92">
        <f t="shared" si="74"/>
        <v>0</v>
      </c>
      <c r="K115" s="92">
        <f t="shared" si="74"/>
        <v>0</v>
      </c>
      <c r="L115" s="92">
        <f t="shared" si="74"/>
        <v>0</v>
      </c>
      <c r="M115" s="395">
        <f>SUM(E115:L115)</f>
        <v>50</v>
      </c>
      <c r="N115" s="97" t="s">
        <v>987</v>
      </c>
    </row>
    <row r="116" spans="1:14" ht="12.75" customHeight="1" x14ac:dyDescent="0.3">
      <c r="A116" s="282"/>
      <c r="B116" s="92" t="s">
        <v>195</v>
      </c>
      <c r="C116" s="92"/>
      <c r="D116" s="92"/>
      <c r="E116" s="92"/>
      <c r="F116" s="92"/>
      <c r="G116" s="239"/>
      <c r="H116" s="92"/>
      <c r="I116" s="92"/>
      <c r="J116" s="92"/>
      <c r="K116" s="92"/>
      <c r="L116" s="92"/>
    </row>
    <row r="117" spans="1:14" ht="12.75" customHeight="1" x14ac:dyDescent="0.3">
      <c r="A117" s="282"/>
      <c r="B117" s="93" t="s">
        <v>595</v>
      </c>
      <c r="C117" s="92" t="s">
        <v>196</v>
      </c>
      <c r="D117" s="92"/>
      <c r="E117" s="207">
        <f t="shared" ref="E117:L117" si="75">E81+E83</f>
        <v>8604.9303835331102</v>
      </c>
      <c r="F117" s="207">
        <f t="shared" si="75"/>
        <v>44458.806981587739</v>
      </c>
      <c r="G117" s="378">
        <f t="shared" si="75"/>
        <v>57366.202556887394</v>
      </c>
      <c r="H117" s="207">
        <f t="shared" si="75"/>
        <v>75436.556362306932</v>
      </c>
      <c r="I117" s="207">
        <f t="shared" si="75"/>
        <v>86049.303835331099</v>
      </c>
      <c r="J117" s="207">
        <f t="shared" si="75"/>
        <v>92933.248142157594</v>
      </c>
      <c r="K117" s="207">
        <f t="shared" si="75"/>
        <v>100390.85447455297</v>
      </c>
      <c r="L117" s="207">
        <f t="shared" si="75"/>
        <v>106356.93954046923</v>
      </c>
    </row>
    <row r="118" spans="1:14" ht="12.75" customHeight="1" x14ac:dyDescent="0.3">
      <c r="A118" s="282"/>
      <c r="B118" s="93" t="s">
        <v>596</v>
      </c>
      <c r="C118" s="92" t="s">
        <v>65</v>
      </c>
      <c r="D118" s="92">
        <f>D11</f>
        <v>36</v>
      </c>
      <c r="E118" s="92">
        <f t="shared" ref="E118:L118" si="76">E11</f>
        <v>1080</v>
      </c>
      <c r="F118" s="92">
        <f t="shared" si="76"/>
        <v>5580</v>
      </c>
      <c r="G118" s="92">
        <f t="shared" si="76"/>
        <v>7200</v>
      </c>
      <c r="H118" s="92">
        <f t="shared" si="76"/>
        <v>9468</v>
      </c>
      <c r="I118" s="92">
        <f t="shared" si="76"/>
        <v>10800</v>
      </c>
      <c r="J118" s="92">
        <f t="shared" si="76"/>
        <v>11664</v>
      </c>
      <c r="K118" s="92">
        <f t="shared" si="76"/>
        <v>12600</v>
      </c>
      <c r="L118" s="92">
        <f t="shared" si="76"/>
        <v>13348.800000000001</v>
      </c>
    </row>
    <row r="119" spans="1:14" ht="12.75" customHeight="1" x14ac:dyDescent="0.3">
      <c r="A119" s="282"/>
      <c r="B119" s="245" t="s">
        <v>598</v>
      </c>
      <c r="C119" s="245" t="s">
        <v>718</v>
      </c>
      <c r="D119" s="92"/>
      <c r="E119" s="255">
        <f>E93/1000</f>
        <v>19.440000000000001</v>
      </c>
      <c r="F119" s="255">
        <f t="shared" ref="F119:L119" si="77">F93/1000</f>
        <v>100.44</v>
      </c>
      <c r="G119" s="378">
        <f t="shared" si="77"/>
        <v>129.6</v>
      </c>
      <c r="H119" s="255">
        <f t="shared" si="77"/>
        <v>170.42400000000001</v>
      </c>
      <c r="I119" s="255">
        <f t="shared" si="77"/>
        <v>194.4</v>
      </c>
      <c r="J119" s="255">
        <f t="shared" si="77"/>
        <v>209.952</v>
      </c>
      <c r="K119" s="255">
        <f t="shared" si="77"/>
        <v>226.8</v>
      </c>
      <c r="L119" s="255">
        <f t="shared" si="77"/>
        <v>240.27840000000003</v>
      </c>
      <c r="M119" s="252" t="s">
        <v>720</v>
      </c>
    </row>
    <row r="122" spans="1:14" ht="12.75" customHeight="1" x14ac:dyDescent="0.25">
      <c r="B122" s="396"/>
      <c r="C122" s="396" t="s">
        <v>143</v>
      </c>
      <c r="D122" s="396"/>
      <c r="E122" s="399">
        <v>2015</v>
      </c>
      <c r="F122" s="399">
        <v>2020</v>
      </c>
      <c r="G122" s="400">
        <v>2025</v>
      </c>
      <c r="H122" s="399">
        <v>2030</v>
      </c>
      <c r="I122" s="399">
        <v>2035</v>
      </c>
      <c r="J122" s="399">
        <v>2040</v>
      </c>
      <c r="K122" s="399">
        <v>2045</v>
      </c>
      <c r="L122" s="399">
        <v>2050</v>
      </c>
    </row>
    <row r="123" spans="1:14" ht="15.75" customHeight="1" x14ac:dyDescent="0.25">
      <c r="B123" s="396" t="s">
        <v>609</v>
      </c>
      <c r="C123" s="396" t="s">
        <v>65</v>
      </c>
      <c r="D123" s="396"/>
      <c r="E123" s="396">
        <v>342.87766249366251</v>
      </c>
      <c r="F123" s="396">
        <v>685.75532498732503</v>
      </c>
      <c r="G123" s="397">
        <v>1376.4593997425998</v>
      </c>
      <c r="H123" s="396">
        <v>2067.1634744978746</v>
      </c>
      <c r="I123" s="396">
        <v>1997.1740134940135</v>
      </c>
      <c r="J123" s="396">
        <v>1926.8310703638704</v>
      </c>
      <c r="K123" s="396">
        <v>1891.8363398619399</v>
      </c>
      <c r="L123" s="396">
        <v>1786.8521483561483</v>
      </c>
    </row>
    <row r="124" spans="1:14" ht="12.75" customHeight="1" x14ac:dyDescent="0.25">
      <c r="B124" s="396" t="s">
        <v>610</v>
      </c>
      <c r="C124" s="396" t="s">
        <v>181</v>
      </c>
      <c r="D124" s="396"/>
      <c r="E124" s="396">
        <v>26.114732193672609</v>
      </c>
      <c r="F124" s="396">
        <v>64.671020617776989</v>
      </c>
      <c r="G124" s="397">
        <v>120.08234486012192</v>
      </c>
      <c r="H124" s="396">
        <v>167.57853990411039</v>
      </c>
      <c r="I124" s="396">
        <v>159.13334603311159</v>
      </c>
      <c r="J124" s="396">
        <v>155.8680635149573</v>
      </c>
      <c r="K124" s="396">
        <v>155.19528424969667</v>
      </c>
      <c r="L124" s="396">
        <v>149.30542035556047</v>
      </c>
    </row>
    <row r="125" spans="1:14" ht="12.75" customHeight="1" x14ac:dyDescent="0.25">
      <c r="B125" s="396" t="s">
        <v>736</v>
      </c>
      <c r="C125" s="396" t="s">
        <v>181</v>
      </c>
      <c r="D125" s="396"/>
      <c r="E125" s="396">
        <v>3.7722222222222221</v>
      </c>
      <c r="F125" s="396">
        <v>7.5444444444444452</v>
      </c>
      <c r="G125" s="397">
        <v>15.143333333333334</v>
      </c>
      <c r="H125" s="396">
        <v>22.742222222222221</v>
      </c>
      <c r="I125" s="396">
        <v>21.972222222222225</v>
      </c>
      <c r="J125" s="396">
        <v>21.198333333333334</v>
      </c>
      <c r="K125" s="396">
        <v>20.81333333333334</v>
      </c>
      <c r="L125" s="396">
        <v>19.658333333333335</v>
      </c>
    </row>
    <row r="126" spans="1:14" ht="12.75" customHeight="1" x14ac:dyDescent="0.25">
      <c r="B126" s="396" t="s">
        <v>590</v>
      </c>
      <c r="C126" s="396" t="s">
        <v>181</v>
      </c>
      <c r="D126" s="396"/>
      <c r="E126" s="396">
        <v>4.5805555555555557</v>
      </c>
      <c r="F126" s="396">
        <v>9.1611111111111114</v>
      </c>
      <c r="G126" s="397">
        <v>18.388333333333332</v>
      </c>
      <c r="H126" s="396">
        <v>27.615555555555552</v>
      </c>
      <c r="I126" s="396">
        <v>26.680555555555557</v>
      </c>
      <c r="J126" s="396">
        <v>25.740833333333335</v>
      </c>
      <c r="K126" s="396">
        <v>25.273333333333341</v>
      </c>
      <c r="L126" s="396">
        <v>23.870833333333334</v>
      </c>
    </row>
    <row r="127" spans="1:14" ht="12.75" customHeight="1" x14ac:dyDescent="0.25">
      <c r="B127" s="396" t="s">
        <v>737</v>
      </c>
      <c r="C127" s="396" t="s">
        <v>181</v>
      </c>
      <c r="D127" s="396"/>
      <c r="E127" s="396">
        <v>5.6583333333333332</v>
      </c>
      <c r="F127" s="396">
        <v>11.316666666666666</v>
      </c>
      <c r="G127" s="397">
        <v>22.714999999999996</v>
      </c>
      <c r="H127" s="396">
        <v>34.11333333333333</v>
      </c>
      <c r="I127" s="396">
        <v>32.958333333333336</v>
      </c>
      <c r="J127" s="396">
        <v>31.797499999999992</v>
      </c>
      <c r="K127" s="396">
        <v>31.220000000000006</v>
      </c>
      <c r="L127" s="396">
        <v>29.487499999999997</v>
      </c>
    </row>
    <row r="128" spans="1:14" ht="12.75" customHeight="1" x14ac:dyDescent="0.25">
      <c r="B128" s="396" t="s">
        <v>738</v>
      </c>
      <c r="C128" s="396" t="s">
        <v>181</v>
      </c>
      <c r="D128" s="396"/>
      <c r="E128" s="396">
        <v>3.7722222222222221</v>
      </c>
      <c r="F128" s="396">
        <v>7.5444444444444452</v>
      </c>
      <c r="G128" s="397">
        <v>15.143333333333334</v>
      </c>
      <c r="H128" s="396">
        <v>22.742222222222221</v>
      </c>
      <c r="I128" s="396">
        <v>21.972222222222225</v>
      </c>
      <c r="J128" s="396">
        <v>21.198333333333334</v>
      </c>
      <c r="K128" s="396">
        <v>20.81333333333334</v>
      </c>
      <c r="L128" s="396">
        <v>19.658333333333335</v>
      </c>
    </row>
    <row r="129" spans="2:12" ht="12.75" customHeight="1" x14ac:dyDescent="0.25">
      <c r="B129" s="396" t="s">
        <v>628</v>
      </c>
      <c r="C129" s="396" t="s">
        <v>181</v>
      </c>
      <c r="D129" s="396"/>
      <c r="E129" s="396">
        <v>3.5027777777777782</v>
      </c>
      <c r="F129" s="396">
        <v>7.0055555555555564</v>
      </c>
      <c r="G129" s="397">
        <v>14.061666666666666</v>
      </c>
      <c r="H129" s="396">
        <v>21.117777777777775</v>
      </c>
      <c r="I129" s="396">
        <v>20.402777777777779</v>
      </c>
      <c r="J129" s="396">
        <v>19.684166666666666</v>
      </c>
      <c r="K129" s="396">
        <v>19.326666666666672</v>
      </c>
      <c r="L129" s="396">
        <v>18.254166666666666</v>
      </c>
    </row>
    <row r="130" spans="2:12" ht="12.75" customHeight="1" x14ac:dyDescent="0.25">
      <c r="B130" s="398" t="s">
        <v>631</v>
      </c>
      <c r="C130" s="398" t="s">
        <v>181</v>
      </c>
      <c r="D130" s="398"/>
      <c r="E130" s="398">
        <v>4.8286210825614972</v>
      </c>
      <c r="F130" s="398">
        <v>22.098798395554766</v>
      </c>
      <c r="G130" s="398">
        <v>34.630678193455253</v>
      </c>
      <c r="H130" s="398">
        <v>39.247428792999273</v>
      </c>
      <c r="I130" s="398">
        <v>35.147234922000479</v>
      </c>
      <c r="J130" s="398">
        <v>36.248896848290642</v>
      </c>
      <c r="K130" s="398">
        <v>37.748617583029969</v>
      </c>
      <c r="L130" s="398">
        <v>38.376253688893811</v>
      </c>
    </row>
    <row r="131" spans="2:12" ht="12.75" customHeight="1" x14ac:dyDescent="0.25">
      <c r="B131" s="396" t="s">
        <v>597</v>
      </c>
      <c r="C131" s="396" t="s">
        <v>181</v>
      </c>
      <c r="D131" s="396"/>
      <c r="E131" s="396">
        <v>3.1667321936726038</v>
      </c>
      <c r="F131" s="396">
        <v>12.763446543702919</v>
      </c>
      <c r="G131" s="397">
        <v>18.098049519620123</v>
      </c>
      <c r="H131" s="396">
        <v>24.650964904110367</v>
      </c>
      <c r="I131" s="396">
        <v>26.923346033111578</v>
      </c>
      <c r="J131" s="396">
        <v>28.314663514957292</v>
      </c>
      <c r="K131" s="396">
        <v>29.958484249696664</v>
      </c>
      <c r="L131" s="396">
        <v>31.018420355560448</v>
      </c>
    </row>
    <row r="132" spans="2:12" ht="12.75" customHeight="1" x14ac:dyDescent="0.25">
      <c r="B132" s="396" t="s">
        <v>592</v>
      </c>
      <c r="C132" s="396" t="s">
        <v>181</v>
      </c>
      <c r="D132" s="396"/>
      <c r="E132" s="396">
        <v>20.150133333333333</v>
      </c>
      <c r="F132" s="396">
        <v>47.016977777777768</v>
      </c>
      <c r="G132" s="397">
        <v>101.1142</v>
      </c>
      <c r="H132" s="396">
        <v>136.84320000000002</v>
      </c>
      <c r="I132" s="396">
        <v>132.21</v>
      </c>
      <c r="J132" s="396">
        <v>127.55340000000001</v>
      </c>
      <c r="K132" s="396">
        <v>125.23680000000002</v>
      </c>
      <c r="L132" s="396">
        <v>118.28700000000002</v>
      </c>
    </row>
    <row r="133" spans="2:12" ht="12.75" customHeight="1" x14ac:dyDescent="0.25">
      <c r="B133" s="396" t="s">
        <v>189</v>
      </c>
      <c r="C133" s="396" t="s">
        <v>181</v>
      </c>
      <c r="D133" s="396"/>
      <c r="E133" s="396">
        <v>118.40052885976574</v>
      </c>
      <c r="F133" s="396">
        <v>197.55371889838557</v>
      </c>
      <c r="G133" s="397">
        <v>110.63273021025641</v>
      </c>
      <c r="H133" s="396">
        <v>176.88757565551978</v>
      </c>
      <c r="I133" s="396">
        <v>87.990154845837282</v>
      </c>
      <c r="J133" s="396">
        <v>50.985605151841291</v>
      </c>
      <c r="K133" s="396">
        <v>50.202641994497363</v>
      </c>
      <c r="L133" s="396">
        <v>35.805515787286758</v>
      </c>
    </row>
    <row r="134" spans="2:12" ht="12.75" customHeight="1" x14ac:dyDescent="0.25">
      <c r="B134" s="396" t="s">
        <v>190</v>
      </c>
      <c r="C134" s="396" t="s">
        <v>181</v>
      </c>
      <c r="D134" s="396"/>
      <c r="E134" s="396">
        <v>22.097469407407406</v>
      </c>
      <c r="F134" s="396">
        <v>36.87008243727599</v>
      </c>
      <c r="G134" s="397">
        <v>20.647740299999995</v>
      </c>
      <c r="H134" s="396">
        <v>33.013094022813682</v>
      </c>
      <c r="I134" s="396">
        <v>16.421884037037035</v>
      </c>
      <c r="J134" s="396">
        <v>9.5156065679012336</v>
      </c>
      <c r="K134" s="396">
        <v>9.3694796495238108</v>
      </c>
      <c r="L134" s="396">
        <v>6.6824979359942489</v>
      </c>
    </row>
    <row r="135" spans="2:12" ht="12.75" customHeight="1" x14ac:dyDescent="0.25">
      <c r="B135" s="396" t="s">
        <v>192</v>
      </c>
      <c r="C135" s="396" t="s">
        <v>181</v>
      </c>
      <c r="D135" s="396"/>
      <c r="E135" s="396">
        <v>73.64434</v>
      </c>
      <c r="F135" s="396">
        <v>122.87709677419355</v>
      </c>
      <c r="G135" s="397">
        <v>68.812821</v>
      </c>
      <c r="H135" s="396">
        <v>110.0228933840304</v>
      </c>
      <c r="I135" s="396">
        <v>54.729289999999999</v>
      </c>
      <c r="J135" s="396">
        <v>31.712706666666662</v>
      </c>
      <c r="K135" s="396">
        <v>31.225708800000007</v>
      </c>
      <c r="L135" s="396">
        <v>22.270792233009718</v>
      </c>
    </row>
    <row r="136" spans="2:12" ht="12.75" customHeight="1" x14ac:dyDescent="0.25">
      <c r="B136" s="396" t="s">
        <v>193</v>
      </c>
      <c r="C136" s="396" t="s">
        <v>181</v>
      </c>
      <c r="D136" s="396"/>
      <c r="E136" s="396">
        <v>13.023148148148149</v>
      </c>
      <c r="F136" s="396">
        <v>21.729390681003583</v>
      </c>
      <c r="G136" s="397">
        <v>12.168749999999999</v>
      </c>
      <c r="H136" s="396">
        <v>19.456273764258555</v>
      </c>
      <c r="I136" s="396">
        <v>9.6782407407407405</v>
      </c>
      <c r="J136" s="396">
        <v>5.6080246913580236</v>
      </c>
      <c r="K136" s="396">
        <v>5.5219047619047625</v>
      </c>
      <c r="L136" s="396">
        <v>3.9383315354189161</v>
      </c>
    </row>
    <row r="137" spans="2:12" ht="12.75" customHeight="1" x14ac:dyDescent="0.25">
      <c r="B137" s="396" t="s">
        <v>194</v>
      </c>
      <c r="C137" s="396" t="s">
        <v>181</v>
      </c>
      <c r="D137" s="396"/>
      <c r="E137" s="396">
        <v>9.6355713042101936</v>
      </c>
      <c r="F137" s="396">
        <v>16.07714900591245</v>
      </c>
      <c r="G137" s="397">
        <v>9.0034189102564088</v>
      </c>
      <c r="H137" s="396">
        <v>14.395314484417144</v>
      </c>
      <c r="I137" s="396">
        <v>7.1607400680595115</v>
      </c>
      <c r="J137" s="396">
        <v>4.1492672259153736</v>
      </c>
      <c r="K137" s="396">
        <v>4.0855487830687833</v>
      </c>
      <c r="L137" s="396">
        <v>2.9138940828638793</v>
      </c>
    </row>
    <row r="138" spans="2:12" ht="12.75" customHeight="1" x14ac:dyDescent="0.25">
      <c r="B138" s="401" t="s">
        <v>730</v>
      </c>
      <c r="C138" s="401" t="s">
        <v>181</v>
      </c>
      <c r="D138" s="401"/>
      <c r="E138" s="401">
        <v>3.1667321936726038</v>
      </c>
      <c r="F138" s="401">
        <v>12.763446543702919</v>
      </c>
      <c r="G138" s="401">
        <v>18.098049519620123</v>
      </c>
      <c r="H138" s="401">
        <v>24.650964904110367</v>
      </c>
      <c r="I138" s="401">
        <v>26.923346033111578</v>
      </c>
      <c r="J138" s="401">
        <v>28.314663514957292</v>
      </c>
      <c r="K138" s="401">
        <v>29.958484249696664</v>
      </c>
      <c r="L138" s="401">
        <v>31.018420355560448</v>
      </c>
    </row>
    <row r="139" spans="2:12" ht="12.75" customHeight="1" x14ac:dyDescent="0.25">
      <c r="B139" s="402" t="s">
        <v>594</v>
      </c>
      <c r="C139" s="402" t="s">
        <v>181</v>
      </c>
      <c r="D139" s="402"/>
      <c r="E139" s="402">
        <v>2.7978666666666721</v>
      </c>
      <c r="F139" s="402">
        <v>4.8905962962963052</v>
      </c>
      <c r="G139" s="402">
        <v>0.87009534050180548</v>
      </c>
      <c r="H139" s="402">
        <v>6.0843749999999996</v>
      </c>
      <c r="I139" s="402">
        <v>0</v>
      </c>
      <c r="J139" s="402">
        <v>0</v>
      </c>
      <c r="K139" s="402">
        <v>0</v>
      </c>
      <c r="L139" s="402">
        <v>0</v>
      </c>
    </row>
    <row r="140" spans="2:12" ht="12.75" customHeight="1" x14ac:dyDescent="0.25">
      <c r="B140" s="396" t="s">
        <v>195</v>
      </c>
      <c r="C140" s="396"/>
      <c r="D140" s="396"/>
      <c r="E140" s="396"/>
      <c r="F140" s="396"/>
      <c r="G140" s="397"/>
      <c r="H140" s="396"/>
      <c r="I140" s="396"/>
      <c r="J140" s="396"/>
      <c r="K140" s="396"/>
      <c r="L140" s="396"/>
    </row>
    <row r="141" spans="2:12" ht="12.75" customHeight="1" x14ac:dyDescent="0.25">
      <c r="B141" s="396" t="s">
        <v>595</v>
      </c>
      <c r="C141" s="396" t="s">
        <v>196</v>
      </c>
      <c r="D141" s="396"/>
      <c r="E141" s="396">
        <v>7728.5022889139964</v>
      </c>
      <c r="F141" s="396">
        <v>15457.004577827995</v>
      </c>
      <c r="G141" s="397">
        <v>31025.554549516597</v>
      </c>
      <c r="H141" s="396">
        <v>46594.104521205212</v>
      </c>
      <c r="I141" s="396">
        <v>45016.533950890807</v>
      </c>
      <c r="J141" s="396">
        <v>43430.995852443499</v>
      </c>
      <c r="K141" s="396">
        <v>42642.210567286311</v>
      </c>
      <c r="L141" s="396">
        <v>40275.854711814682</v>
      </c>
    </row>
    <row r="142" spans="2:12" ht="12.75" customHeight="1" x14ac:dyDescent="0.25">
      <c r="B142" s="597" t="s">
        <v>596</v>
      </c>
      <c r="C142" s="597" t="s">
        <v>65</v>
      </c>
      <c r="D142" s="597">
        <f>D11</f>
        <v>36</v>
      </c>
      <c r="E142" s="597">
        <f t="shared" ref="E142:L142" si="78">E11</f>
        <v>1080</v>
      </c>
      <c r="F142" s="597">
        <f t="shared" si="78"/>
        <v>5580</v>
      </c>
      <c r="G142" s="597">
        <f t="shared" si="78"/>
        <v>7200</v>
      </c>
      <c r="H142" s="597">
        <f t="shared" si="78"/>
        <v>9468</v>
      </c>
      <c r="I142" s="597">
        <f t="shared" si="78"/>
        <v>10800</v>
      </c>
      <c r="J142" s="597">
        <f t="shared" si="78"/>
        <v>11664</v>
      </c>
      <c r="K142" s="597">
        <f t="shared" si="78"/>
        <v>12600</v>
      </c>
      <c r="L142" s="597">
        <f t="shared" si="78"/>
        <v>13348.800000000001</v>
      </c>
    </row>
    <row r="143" spans="2:12" ht="12.75" customHeight="1" x14ac:dyDescent="0.25">
      <c r="B143" s="396" t="s">
        <v>598</v>
      </c>
      <c r="C143" s="396" t="s">
        <v>718</v>
      </c>
      <c r="D143" s="396"/>
      <c r="E143" s="396">
        <v>17.46</v>
      </c>
      <c r="F143" s="396">
        <v>34.92</v>
      </c>
      <c r="G143" s="397">
        <v>70.091999999999999</v>
      </c>
      <c r="H143" s="396">
        <v>105.264</v>
      </c>
      <c r="I143" s="396">
        <v>101.7</v>
      </c>
      <c r="J143" s="396">
        <v>98.117999999999995</v>
      </c>
      <c r="K143" s="396">
        <v>96.335999999999999</v>
      </c>
      <c r="L143" s="396">
        <v>90.99</v>
      </c>
    </row>
  </sheetData>
  <pageMargins left="0.75" right="0.75" top="1" bottom="1" header="0.5" footer="0.5"/>
  <pageSetup paperSize="9"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9"/>
  <sheetViews>
    <sheetView topLeftCell="A51" zoomScale="125" zoomScaleNormal="125" zoomScalePageLayoutView="125" workbookViewId="0">
      <selection activeCell="I59" sqref="I59"/>
    </sheetView>
  </sheetViews>
  <sheetFormatPr defaultColWidth="11.5546875" defaultRowHeight="13.2" x14ac:dyDescent="0.25"/>
  <cols>
    <col min="2" max="2" width="39.6640625" customWidth="1"/>
    <col min="3" max="3" width="17" customWidth="1"/>
  </cols>
  <sheetData>
    <row r="2" spans="1:3" ht="26.4" x14ac:dyDescent="0.25">
      <c r="A2" t="s">
        <v>755</v>
      </c>
      <c r="B2" s="294" t="s">
        <v>806</v>
      </c>
    </row>
    <row r="3" spans="1:3" s="452" customFormat="1" x14ac:dyDescent="0.25">
      <c r="A3" s="452" t="s">
        <v>906</v>
      </c>
      <c r="B3" s="452" t="s">
        <v>907</v>
      </c>
    </row>
    <row r="4" spans="1:3" ht="26.4" x14ac:dyDescent="0.25">
      <c r="A4" t="s">
        <v>756</v>
      </c>
      <c r="B4" t="s">
        <v>757</v>
      </c>
      <c r="C4" s="295">
        <f>abitabelid!C189</f>
        <v>3.3573811996897636E-2</v>
      </c>
    </row>
    <row r="5" spans="1:3" ht="26.4" x14ac:dyDescent="0.25">
      <c r="A5" t="s">
        <v>761</v>
      </c>
      <c r="B5" t="s">
        <v>762</v>
      </c>
      <c r="C5" s="294">
        <v>0.1</v>
      </c>
    </row>
    <row r="6" spans="1:3" ht="26.4" x14ac:dyDescent="0.25">
      <c r="A6" s="65" t="s">
        <v>812</v>
      </c>
      <c r="B6" s="65" t="s">
        <v>813</v>
      </c>
      <c r="C6" s="354">
        <f>Biomet_max!A30</f>
        <v>22.316334933762718</v>
      </c>
    </row>
    <row r="7" spans="1:3" s="65" customFormat="1" ht="132" x14ac:dyDescent="0.25">
      <c r="A7" s="65" t="s">
        <v>814</v>
      </c>
      <c r="B7" s="65" t="s">
        <v>815</v>
      </c>
      <c r="C7" s="287"/>
    </row>
    <row r="8" spans="1:3" s="65" customFormat="1" ht="92.4" x14ac:dyDescent="0.25">
      <c r="A8" s="65" t="s">
        <v>816</v>
      </c>
      <c r="B8" s="65" t="s">
        <v>817</v>
      </c>
      <c r="C8" s="65" t="s">
        <v>820</v>
      </c>
    </row>
    <row r="9" spans="1:3" s="65" customFormat="1" ht="66" x14ac:dyDescent="0.25">
      <c r="A9" s="65" t="s">
        <v>819</v>
      </c>
      <c r="B9" s="65" t="s">
        <v>818</v>
      </c>
    </row>
    <row r="10" spans="1:3" s="65" customFormat="1" x14ac:dyDescent="0.25">
      <c r="A10" s="65" t="s">
        <v>822</v>
      </c>
      <c r="B10" s="65" t="s">
        <v>823</v>
      </c>
    </row>
    <row r="11" spans="1:3" ht="26.4" x14ac:dyDescent="0.25">
      <c r="A11" s="65" t="s">
        <v>791</v>
      </c>
      <c r="B11" s="65" t="s">
        <v>809</v>
      </c>
    </row>
    <row r="12" spans="1:3" x14ac:dyDescent="0.25">
      <c r="A12" s="65" t="s">
        <v>807</v>
      </c>
      <c r="B12" s="65" t="s">
        <v>808</v>
      </c>
    </row>
    <row r="13" spans="1:3" s="65" customFormat="1" x14ac:dyDescent="0.25">
      <c r="A13" s="65" t="s">
        <v>821</v>
      </c>
      <c r="B13" s="65" t="s">
        <v>824</v>
      </c>
    </row>
    <row r="14" spans="1:3" ht="39.6" x14ac:dyDescent="0.25">
      <c r="A14" t="s">
        <v>826</v>
      </c>
      <c r="B14" t="s">
        <v>827</v>
      </c>
    </row>
    <row r="15" spans="1:3" ht="39.6" x14ac:dyDescent="0.25">
      <c r="A15" t="s">
        <v>829</v>
      </c>
      <c r="B15" t="s">
        <v>830</v>
      </c>
    </row>
    <row r="16" spans="1:3" ht="26.4" x14ac:dyDescent="0.25">
      <c r="A16" t="s">
        <v>831</v>
      </c>
      <c r="B16" t="s">
        <v>832</v>
      </c>
    </row>
    <row r="17" spans="1:3" ht="39.6" x14ac:dyDescent="0.25">
      <c r="A17" t="s">
        <v>833</v>
      </c>
      <c r="B17" t="s">
        <v>834</v>
      </c>
    </row>
    <row r="18" spans="1:3" ht="26.4" x14ac:dyDescent="0.25">
      <c r="A18" t="s">
        <v>835</v>
      </c>
      <c r="B18" t="s">
        <v>836</v>
      </c>
    </row>
    <row r="19" spans="1:3" ht="26.4" x14ac:dyDescent="0.25">
      <c r="A19" t="s">
        <v>837</v>
      </c>
      <c r="B19" t="s">
        <v>838</v>
      </c>
    </row>
    <row r="20" spans="1:3" ht="26.4" x14ac:dyDescent="0.25">
      <c r="A20" t="s">
        <v>839</v>
      </c>
      <c r="B20" t="s">
        <v>840</v>
      </c>
    </row>
    <row r="21" spans="1:3" x14ac:dyDescent="0.25">
      <c r="A21" t="s">
        <v>843</v>
      </c>
      <c r="B21" t="s">
        <v>844</v>
      </c>
    </row>
    <row r="22" spans="1:3" x14ac:dyDescent="0.25">
      <c r="A22" t="s">
        <v>845</v>
      </c>
      <c r="B22" t="s">
        <v>844</v>
      </c>
    </row>
    <row r="23" spans="1:3" x14ac:dyDescent="0.25">
      <c r="A23" t="s">
        <v>846</v>
      </c>
      <c r="B23" t="s">
        <v>844</v>
      </c>
    </row>
    <row r="24" spans="1:3" x14ac:dyDescent="0.25">
      <c r="A24" t="s">
        <v>847</v>
      </c>
      <c r="B24" t="s">
        <v>844</v>
      </c>
    </row>
    <row r="25" spans="1:3" ht="26.4" x14ac:dyDescent="0.25">
      <c r="A25" t="s">
        <v>848</v>
      </c>
      <c r="B25" t="s">
        <v>849</v>
      </c>
    </row>
    <row r="26" spans="1:3" x14ac:dyDescent="0.25">
      <c r="A26" t="s">
        <v>850</v>
      </c>
      <c r="B26" t="s">
        <v>844</v>
      </c>
    </row>
    <row r="27" spans="1:3" ht="26.4" x14ac:dyDescent="0.25">
      <c r="A27" t="s">
        <v>852</v>
      </c>
      <c r="B27" t="s">
        <v>853</v>
      </c>
    </row>
    <row r="28" spans="1:3" x14ac:dyDescent="0.25">
      <c r="A28" t="s">
        <v>854</v>
      </c>
      <c r="B28" t="s">
        <v>855</v>
      </c>
    </row>
    <row r="29" spans="1:3" ht="26.4" x14ac:dyDescent="0.25">
      <c r="A29" t="s">
        <v>856</v>
      </c>
      <c r="B29" t="s">
        <v>857</v>
      </c>
    </row>
    <row r="30" spans="1:3" ht="39.6" x14ac:dyDescent="0.25">
      <c r="A30" t="s">
        <v>852</v>
      </c>
      <c r="B30" t="s">
        <v>878</v>
      </c>
    </row>
    <row r="31" spans="1:3" ht="343.2" x14ac:dyDescent="0.25">
      <c r="A31" t="s">
        <v>879</v>
      </c>
      <c r="B31" t="s">
        <v>880</v>
      </c>
      <c r="C31" t="s">
        <v>881</v>
      </c>
    </row>
    <row r="32" spans="1:3" ht="39.6" x14ac:dyDescent="0.25">
      <c r="A32" t="s">
        <v>848</v>
      </c>
      <c r="B32" t="s">
        <v>883</v>
      </c>
    </row>
    <row r="33" spans="1:2" s="65" customFormat="1" ht="26.4" x14ac:dyDescent="0.25">
      <c r="A33" s="65" t="s">
        <v>902</v>
      </c>
      <c r="B33" s="65" t="s">
        <v>903</v>
      </c>
    </row>
    <row r="34" spans="1:2" ht="26.4" x14ac:dyDescent="0.25">
      <c r="A34" t="s">
        <v>885</v>
      </c>
    </row>
    <row r="35" spans="1:2" ht="39.6" x14ac:dyDescent="0.25">
      <c r="A35" t="s">
        <v>886</v>
      </c>
      <c r="B35" t="s">
        <v>887</v>
      </c>
    </row>
    <row r="36" spans="1:2" ht="39.6" x14ac:dyDescent="0.25">
      <c r="A36" t="s">
        <v>897</v>
      </c>
      <c r="B36" t="s">
        <v>898</v>
      </c>
    </row>
    <row r="37" spans="1:2" ht="26.4" x14ac:dyDescent="0.25">
      <c r="A37" t="s">
        <v>900</v>
      </c>
      <c r="B37" t="s">
        <v>901</v>
      </c>
    </row>
    <row r="39" spans="1:2" s="452" customFormat="1" ht="52.8" x14ac:dyDescent="0.25">
      <c r="A39" s="452" t="s">
        <v>904</v>
      </c>
      <c r="B39" s="452" t="s">
        <v>905</v>
      </c>
    </row>
    <row r="40" spans="1:2" ht="26.4" x14ac:dyDescent="0.25">
      <c r="A40" t="s">
        <v>910</v>
      </c>
      <c r="B40" t="s">
        <v>911</v>
      </c>
    </row>
    <row r="41" spans="1:2" ht="26.4" x14ac:dyDescent="0.25">
      <c r="A41" t="s">
        <v>915</v>
      </c>
      <c r="B41" t="s">
        <v>916</v>
      </c>
    </row>
    <row r="42" spans="1:2" ht="26.4" x14ac:dyDescent="0.25">
      <c r="A42" t="s">
        <v>919</v>
      </c>
      <c r="B42" t="s">
        <v>920</v>
      </c>
    </row>
    <row r="43" spans="1:2" ht="26.4" x14ac:dyDescent="0.25">
      <c r="A43" t="s">
        <v>921</v>
      </c>
      <c r="B43" t="s">
        <v>920</v>
      </c>
    </row>
    <row r="44" spans="1:2" x14ac:dyDescent="0.25">
      <c r="A44" t="s">
        <v>922</v>
      </c>
      <c r="B44" t="s">
        <v>923</v>
      </c>
    </row>
    <row r="45" spans="1:2" ht="26.4" x14ac:dyDescent="0.25">
      <c r="A45" t="s">
        <v>948</v>
      </c>
      <c r="B45" t="s">
        <v>949</v>
      </c>
    </row>
    <row r="46" spans="1:2" ht="26.4" x14ac:dyDescent="0.25">
      <c r="A46" t="s">
        <v>850</v>
      </c>
      <c r="B46" t="s">
        <v>981</v>
      </c>
    </row>
    <row r="47" spans="1:2" ht="26.4" x14ac:dyDescent="0.25">
      <c r="A47" t="s">
        <v>983</v>
      </c>
      <c r="B47" t="s">
        <v>984</v>
      </c>
    </row>
    <row r="49" spans="1:14" ht="26.4" x14ac:dyDescent="0.25">
      <c r="A49" t="s">
        <v>995</v>
      </c>
      <c r="B49" t="s">
        <v>996</v>
      </c>
    </row>
    <row r="50" spans="1:14" x14ac:dyDescent="0.25">
      <c r="A50" t="s">
        <v>997</v>
      </c>
      <c r="B50" t="s">
        <v>998</v>
      </c>
    </row>
    <row r="51" spans="1:14" ht="14.4" x14ac:dyDescent="0.3">
      <c r="E51" s="482"/>
      <c r="F51" s="481"/>
      <c r="G51" s="481"/>
      <c r="H51" s="481"/>
      <c r="I51" s="481"/>
      <c r="J51" s="481"/>
      <c r="K51" s="481"/>
      <c r="L51" s="481"/>
      <c r="M51" s="481"/>
      <c r="N51" s="481"/>
    </row>
    <row r="52" spans="1:14" ht="40.200000000000003" x14ac:dyDescent="0.3">
      <c r="A52" s="502" t="s">
        <v>968</v>
      </c>
      <c r="B52" s="502" t="s">
        <v>974</v>
      </c>
      <c r="C52" s="501"/>
      <c r="E52" s="482"/>
      <c r="F52" s="481"/>
      <c r="G52" s="481"/>
      <c r="H52" s="483"/>
      <c r="I52" s="483"/>
      <c r="J52" s="483"/>
      <c r="K52" s="483"/>
      <c r="L52" s="479"/>
      <c r="M52" s="479"/>
      <c r="N52" s="479"/>
    </row>
    <row r="53" spans="1:14" ht="14.4" x14ac:dyDescent="0.3">
      <c r="A53" s="501"/>
      <c r="B53" s="501" t="s">
        <v>969</v>
      </c>
      <c r="C53" s="501"/>
      <c r="E53" s="482"/>
      <c r="F53" s="484"/>
      <c r="G53" s="485"/>
      <c r="H53" s="485"/>
      <c r="I53" s="485"/>
      <c r="J53" s="485"/>
      <c r="K53" s="485"/>
      <c r="L53" s="486"/>
      <c r="M53" s="487"/>
      <c r="N53" s="487"/>
    </row>
    <row r="54" spans="1:14" ht="14.4" x14ac:dyDescent="0.3">
      <c r="A54" s="501"/>
      <c r="B54" s="501" t="s">
        <v>970</v>
      </c>
      <c r="C54" s="501">
        <v>200</v>
      </c>
      <c r="E54" s="482"/>
      <c r="F54" s="484"/>
      <c r="G54" s="485"/>
      <c r="H54" s="485">
        <v>7.5</v>
      </c>
      <c r="I54" s="485">
        <v>3.6</v>
      </c>
      <c r="J54" s="485"/>
      <c r="K54" s="485"/>
      <c r="L54" s="488"/>
      <c r="M54" s="488"/>
      <c r="N54" s="488"/>
    </row>
    <row r="55" spans="1:14" ht="26.4" x14ac:dyDescent="0.25">
      <c r="A55" s="501"/>
      <c r="B55" s="501" t="s">
        <v>971</v>
      </c>
      <c r="C55" s="12">
        <v>675</v>
      </c>
      <c r="D55" s="452">
        <f>E60/D59*1000</f>
        <v>782.5</v>
      </c>
      <c r="E55" s="519" t="s">
        <v>1053</v>
      </c>
      <c r="F55" s="497" t="s">
        <v>1054</v>
      </c>
      <c r="G55" s="497">
        <f>'Bioetanooli abitabelid'!C140*1000</f>
        <v>782.5</v>
      </c>
      <c r="H55" s="482"/>
      <c r="I55" s="482"/>
      <c r="J55" s="482"/>
      <c r="K55" s="482"/>
      <c r="L55" s="482"/>
      <c r="M55" s="482"/>
      <c r="N55" s="482"/>
    </row>
    <row r="56" spans="1:14" x14ac:dyDescent="0.25">
      <c r="A56" s="501"/>
      <c r="B56" s="501" t="s">
        <v>972</v>
      </c>
      <c r="C56" s="501"/>
      <c r="D56" s="16">
        <f>'Bioetanooli abitabelid'!D40*1000</f>
        <v>855.00400000000002</v>
      </c>
      <c r="E56" s="479"/>
      <c r="F56" s="482"/>
      <c r="G56" s="482"/>
      <c r="H56" s="482"/>
      <c r="I56" s="482"/>
      <c r="J56" s="482"/>
      <c r="K56" s="482"/>
      <c r="L56" s="482"/>
      <c r="M56" s="482"/>
      <c r="N56" s="482"/>
    </row>
    <row r="57" spans="1:14" x14ac:dyDescent="0.25">
      <c r="A57" s="501"/>
      <c r="B57" s="501" t="s">
        <v>973</v>
      </c>
      <c r="C57" s="501"/>
      <c r="E57" s="479"/>
      <c r="F57" s="482"/>
      <c r="G57" s="482"/>
      <c r="H57" s="482"/>
      <c r="I57" s="482"/>
      <c r="J57" s="482"/>
      <c r="K57" s="482"/>
      <c r="L57" s="482"/>
      <c r="M57" s="482"/>
      <c r="N57" s="482"/>
    </row>
    <row r="58" spans="1:14" x14ac:dyDescent="0.25">
      <c r="D58">
        <f>F58/Bioet_max!G7/Bioet_max!E8</f>
        <v>0</v>
      </c>
      <c r="E58" s="479"/>
      <c r="F58" s="497"/>
      <c r="G58" s="497"/>
      <c r="H58" s="497"/>
      <c r="I58" s="497"/>
      <c r="J58" s="497"/>
      <c r="K58" s="497"/>
      <c r="L58" s="497"/>
      <c r="M58" s="497"/>
      <c r="N58" s="497"/>
    </row>
    <row r="59" spans="1:14" ht="26.4" x14ac:dyDescent="0.25">
      <c r="A59" t="s">
        <v>999</v>
      </c>
      <c r="D59">
        <v>0.8</v>
      </c>
      <c r="F59" t="s">
        <v>1057</v>
      </c>
    </row>
    <row r="60" spans="1:14" ht="26.4" x14ac:dyDescent="0.25">
      <c r="A60" t="s">
        <v>1000</v>
      </c>
      <c r="B60" t="s">
        <v>1001</v>
      </c>
      <c r="C60" s="452">
        <f>G55/1000</f>
        <v>0.78249999999999997</v>
      </c>
      <c r="D60" s="12">
        <f>C55*D59</f>
        <v>540</v>
      </c>
      <c r="E60">
        <f>'Bioetanooli abitabelid'!B140</f>
        <v>0.626</v>
      </c>
      <c r="F60" s="520">
        <f>G55*D59</f>
        <v>626</v>
      </c>
      <c r="G60">
        <f>E60/C60</f>
        <v>0.8</v>
      </c>
    </row>
    <row r="61" spans="1:14" ht="26.4" x14ac:dyDescent="0.25">
      <c r="A61" t="s">
        <v>1116</v>
      </c>
      <c r="B61" t="s">
        <v>1117</v>
      </c>
      <c r="D61" s="452">
        <f>C60*H54*I54</f>
        <v>21.127499999999998</v>
      </c>
      <c r="E61" t="s">
        <v>158</v>
      </c>
    </row>
    <row r="62" spans="1:14" ht="26.4" x14ac:dyDescent="0.25">
      <c r="A62" t="s">
        <v>1120</v>
      </c>
      <c r="B62" t="s">
        <v>1121</v>
      </c>
    </row>
    <row r="65" spans="1:2" ht="26.4" x14ac:dyDescent="0.25">
      <c r="A65" t="s">
        <v>1138</v>
      </c>
      <c r="B65" t="s">
        <v>1139</v>
      </c>
    </row>
    <row r="66" spans="1:2" ht="26.4" x14ac:dyDescent="0.25">
      <c r="A66" t="s">
        <v>1140</v>
      </c>
      <c r="B66" t="s">
        <v>1141</v>
      </c>
    </row>
    <row r="68" spans="1:2" ht="26.4" x14ac:dyDescent="0.25">
      <c r="A68" t="s">
        <v>1143</v>
      </c>
      <c r="B68" t="s">
        <v>1142</v>
      </c>
    </row>
    <row r="69" spans="1:2" ht="26.4" x14ac:dyDescent="0.25">
      <c r="A69" t="s">
        <v>1140</v>
      </c>
      <c r="B69" t="s">
        <v>1144</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6"/>
  <sheetViews>
    <sheetView topLeftCell="H93" workbookViewId="0">
      <selection activeCell="N112" sqref="N112"/>
    </sheetView>
  </sheetViews>
  <sheetFormatPr defaultColWidth="11.5546875" defaultRowHeight="13.2" x14ac:dyDescent="0.25"/>
  <cols>
    <col min="1" max="1" width="38.44140625" customWidth="1"/>
    <col min="2" max="2" width="19.77734375" customWidth="1"/>
    <col min="12" max="12" width="10.77734375" style="649"/>
    <col min="15" max="17" width="11" bestFit="1" customWidth="1"/>
    <col min="24" max="24" width="3" customWidth="1"/>
    <col min="25" max="25" width="23" customWidth="1"/>
  </cols>
  <sheetData>
    <row r="1" spans="2:30" x14ac:dyDescent="0.25">
      <c r="D1">
        <v>2010</v>
      </c>
      <c r="E1">
        <v>2015</v>
      </c>
      <c r="F1">
        <v>2020</v>
      </c>
      <c r="G1">
        <v>2025</v>
      </c>
      <c r="H1">
        <v>2030</v>
      </c>
      <c r="I1">
        <v>2035</v>
      </c>
      <c r="J1">
        <v>2040</v>
      </c>
      <c r="K1">
        <v>2045</v>
      </c>
      <c r="L1" s="649">
        <v>2050</v>
      </c>
    </row>
    <row r="2" spans="2:30" ht="26.4" x14ac:dyDescent="0.25">
      <c r="C2" t="s">
        <v>1152</v>
      </c>
      <c r="D2">
        <v>1</v>
      </c>
      <c r="E2">
        <v>30</v>
      </c>
      <c r="F2">
        <v>155</v>
      </c>
      <c r="G2">
        <v>200</v>
      </c>
      <c r="H2">
        <v>263</v>
      </c>
      <c r="I2">
        <v>300</v>
      </c>
      <c r="J2">
        <v>324</v>
      </c>
      <c r="K2">
        <v>350</v>
      </c>
      <c r="L2">
        <v>370.8</v>
      </c>
      <c r="Y2" s="798" t="s">
        <v>800</v>
      </c>
    </row>
    <row r="3" spans="2:30" x14ac:dyDescent="0.25">
      <c r="L3"/>
      <c r="Y3" s="798"/>
      <c r="Z3" s="329">
        <v>2010</v>
      </c>
      <c r="AA3" s="329">
        <v>2015</v>
      </c>
      <c r="AB3" s="329">
        <v>2020</v>
      </c>
      <c r="AC3" s="329">
        <v>2025</v>
      </c>
      <c r="AD3" s="329">
        <v>2030</v>
      </c>
    </row>
    <row r="4" spans="2:30" ht="26.4" x14ac:dyDescent="0.25">
      <c r="C4" t="s">
        <v>1153</v>
      </c>
      <c r="D4" s="323">
        <v>0</v>
      </c>
      <c r="E4" s="323">
        <v>17.611111111111111</v>
      </c>
      <c r="F4" s="323">
        <v>35.222222222222221</v>
      </c>
      <c r="G4" s="323">
        <v>86</v>
      </c>
      <c r="H4" s="323">
        <v>136.77777777777777</v>
      </c>
      <c r="I4" s="323">
        <v>140.75</v>
      </c>
      <c r="J4" s="323">
        <v>144.75</v>
      </c>
      <c r="K4" s="323">
        <v>146.74999999999997</v>
      </c>
      <c r="L4" s="654">
        <v>152.75</v>
      </c>
      <c r="Y4" s="947" t="s">
        <v>1215</v>
      </c>
      <c r="Z4" s="948">
        <v>0</v>
      </c>
      <c r="AA4" s="948">
        <v>1.7899999999999999E-2</v>
      </c>
      <c r="AB4" s="948">
        <v>3.5099999999999999E-2</v>
      </c>
      <c r="AC4" s="948">
        <v>4.4499999999999998E-2</v>
      </c>
      <c r="AD4" s="948">
        <v>5.4800000000000001E-2</v>
      </c>
    </row>
    <row r="5" spans="2:30" ht="39.6" x14ac:dyDescent="0.25">
      <c r="C5" t="s">
        <v>1211</v>
      </c>
      <c r="D5">
        <v>0</v>
      </c>
      <c r="E5">
        <v>0</v>
      </c>
      <c r="F5">
        <v>0</v>
      </c>
      <c r="G5">
        <v>0</v>
      </c>
      <c r="H5">
        <v>0</v>
      </c>
      <c r="I5">
        <v>0</v>
      </c>
      <c r="J5">
        <v>0</v>
      </c>
      <c r="K5">
        <v>0</v>
      </c>
      <c r="L5">
        <v>0</v>
      </c>
      <c r="Y5" s="949" t="s">
        <v>1216</v>
      </c>
      <c r="Z5" s="950">
        <v>0</v>
      </c>
      <c r="AA5" s="950">
        <v>3.1699999999999999E-2</v>
      </c>
      <c r="AB5" s="950">
        <v>6.2E-2</v>
      </c>
      <c r="AC5" s="950">
        <v>0.13020000000000001</v>
      </c>
      <c r="AD5" s="950">
        <v>0.20499999999999999</v>
      </c>
    </row>
    <row r="6" spans="2:30" ht="40.200000000000003" thickBot="1" x14ac:dyDescent="0.3">
      <c r="C6" t="s">
        <v>1210</v>
      </c>
      <c r="D6" t="s">
        <v>800</v>
      </c>
      <c r="E6" t="s">
        <v>800</v>
      </c>
      <c r="F6">
        <v>123</v>
      </c>
      <c r="G6">
        <v>123</v>
      </c>
      <c r="Y6" s="943" t="s">
        <v>1212</v>
      </c>
      <c r="Z6" s="944">
        <v>0</v>
      </c>
      <c r="AA6" s="944">
        <v>4.9599999999999998E-2</v>
      </c>
      <c r="AB6" s="944">
        <v>9.7100000000000006E-2</v>
      </c>
      <c r="AC6" s="944">
        <v>0.17469999999999999</v>
      </c>
      <c r="AD6" s="944">
        <v>0.25979999999999998</v>
      </c>
    </row>
    <row r="7" spans="2:30" ht="27" thickBot="1" x14ac:dyDescent="0.3">
      <c r="C7" t="s">
        <v>1209</v>
      </c>
      <c r="H7">
        <v>271</v>
      </c>
      <c r="I7">
        <v>271</v>
      </c>
      <c r="J7">
        <v>271</v>
      </c>
      <c r="K7">
        <v>271</v>
      </c>
      <c r="L7" s="654">
        <f>220*1.23</f>
        <v>270.60000000000002</v>
      </c>
      <c r="Y7" s="945" t="s">
        <v>1213</v>
      </c>
      <c r="Z7" s="946" t="s">
        <v>800</v>
      </c>
      <c r="AA7" s="946" t="s">
        <v>800</v>
      </c>
      <c r="AB7" s="946" t="s">
        <v>800</v>
      </c>
      <c r="AC7" s="946" t="s">
        <v>800</v>
      </c>
      <c r="AD7" s="946" t="s">
        <v>800</v>
      </c>
    </row>
    <row r="8" spans="2:30" ht="27" thickBot="1" x14ac:dyDescent="0.3">
      <c r="C8" t="s">
        <v>1150</v>
      </c>
      <c r="D8">
        <v>0</v>
      </c>
      <c r="E8">
        <v>0</v>
      </c>
      <c r="F8">
        <v>0</v>
      </c>
      <c r="G8">
        <v>0</v>
      </c>
      <c r="H8">
        <v>0</v>
      </c>
      <c r="I8">
        <v>0</v>
      </c>
      <c r="J8">
        <v>0</v>
      </c>
      <c r="K8">
        <v>0</v>
      </c>
      <c r="L8" s="649">
        <v>0</v>
      </c>
      <c r="Y8" s="941" t="s">
        <v>1192</v>
      </c>
      <c r="Z8" s="942">
        <v>0</v>
      </c>
      <c r="AA8" s="942">
        <v>1.7999999999999999E-2</v>
      </c>
      <c r="AB8" s="942">
        <v>3.32E-2</v>
      </c>
      <c r="AC8" s="942">
        <v>2.9600000000000001E-2</v>
      </c>
      <c r="AD8" s="942">
        <v>2.64E-2</v>
      </c>
    </row>
    <row r="9" spans="2:30" ht="27" thickBot="1" x14ac:dyDescent="0.3">
      <c r="C9" t="s">
        <v>995</v>
      </c>
      <c r="D9" s="323">
        <v>0</v>
      </c>
      <c r="E9" s="323">
        <v>17.611111111111111</v>
      </c>
      <c r="F9" s="323">
        <v>35.222222222222221</v>
      </c>
      <c r="G9" s="323">
        <v>86</v>
      </c>
      <c r="H9" s="323">
        <v>136.77777777777777</v>
      </c>
      <c r="I9" s="323">
        <v>140.75</v>
      </c>
      <c r="J9" s="323">
        <v>144.75</v>
      </c>
      <c r="K9" s="323">
        <v>146.74999999999997</v>
      </c>
      <c r="Y9" s="941" t="s">
        <v>1200</v>
      </c>
      <c r="Z9" s="942">
        <v>0</v>
      </c>
      <c r="AA9" s="942">
        <v>1.9400000000000001E-2</v>
      </c>
      <c r="AB9" s="942">
        <v>3.5700000000000003E-2</v>
      </c>
      <c r="AC9" s="942">
        <v>8.2900000000000001E-2</v>
      </c>
      <c r="AD9" s="942">
        <v>0.12559999999999999</v>
      </c>
    </row>
    <row r="10" spans="2:30" ht="14.4" thickBot="1" x14ac:dyDescent="0.3">
      <c r="C10" t="s">
        <v>1151</v>
      </c>
      <c r="D10">
        <v>1</v>
      </c>
      <c r="E10">
        <v>30</v>
      </c>
      <c r="F10">
        <v>155</v>
      </c>
      <c r="G10">
        <v>200</v>
      </c>
      <c r="H10">
        <v>263</v>
      </c>
      <c r="I10">
        <v>300</v>
      </c>
      <c r="J10">
        <v>324</v>
      </c>
      <c r="K10">
        <v>350</v>
      </c>
      <c r="Y10" s="943" t="s">
        <v>282</v>
      </c>
      <c r="Z10" s="944">
        <v>0</v>
      </c>
      <c r="AA10" s="944">
        <v>3.7400000000000003E-2</v>
      </c>
      <c r="AB10" s="944">
        <v>6.8900000000000003E-2</v>
      </c>
      <c r="AC10" s="944">
        <v>0.1125</v>
      </c>
      <c r="AD10" s="944">
        <v>0.152</v>
      </c>
    </row>
    <row r="11" spans="2:30" ht="14.4" thickBot="1" x14ac:dyDescent="0.3">
      <c r="Y11" s="945" t="s">
        <v>1202</v>
      </c>
      <c r="Z11" s="946" t="s">
        <v>800</v>
      </c>
      <c r="AA11" s="946" t="s">
        <v>800</v>
      </c>
      <c r="AB11" s="946" t="s">
        <v>800</v>
      </c>
      <c r="AC11" s="946" t="s">
        <v>800</v>
      </c>
      <c r="AD11" s="946" t="s">
        <v>800</v>
      </c>
    </row>
    <row r="12" spans="2:30" ht="14.4" thickBot="1" x14ac:dyDescent="0.3">
      <c r="Y12" s="941" t="s">
        <v>1201</v>
      </c>
      <c r="Z12" s="942">
        <v>0</v>
      </c>
      <c r="AA12" s="942">
        <v>1.6400000000000001E-2</v>
      </c>
      <c r="AB12" s="942">
        <v>2.8400000000000002E-2</v>
      </c>
      <c r="AC12" s="942">
        <v>2.6499999999999999E-2</v>
      </c>
      <c r="AD12" s="942">
        <v>2.4799999999999999E-2</v>
      </c>
    </row>
    <row r="13" spans="2:30" ht="14.4" thickBot="1" x14ac:dyDescent="0.3">
      <c r="Y13" s="941" t="s">
        <v>1200</v>
      </c>
      <c r="Z13" s="942">
        <v>0</v>
      </c>
      <c r="AA13" s="942">
        <v>0</v>
      </c>
      <c r="AB13" s="942">
        <v>0</v>
      </c>
      <c r="AC13" s="942">
        <v>0</v>
      </c>
      <c r="AD13" s="942">
        <v>0</v>
      </c>
    </row>
    <row r="14" spans="2:30" ht="106.2" thickBot="1" x14ac:dyDescent="0.3">
      <c r="C14" t="s">
        <v>810</v>
      </c>
      <c r="D14" s="645">
        <v>1</v>
      </c>
      <c r="E14" s="645">
        <v>0.89814814814814814</v>
      </c>
      <c r="F14" s="645">
        <v>0.34767025089605735</v>
      </c>
      <c r="G14" s="645">
        <v>0.54083333333333328</v>
      </c>
      <c r="H14" s="645">
        <v>0.6176594845796366</v>
      </c>
      <c r="I14" s="645">
        <v>0.52314814814814814</v>
      </c>
      <c r="J14" s="645">
        <v>0.46733539094650201</v>
      </c>
      <c r="K14" s="645">
        <v>0.42476190476190484</v>
      </c>
      <c r="L14" s="650">
        <v>0.37868572455951094</v>
      </c>
      <c r="Y14" s="943" t="s">
        <v>1214</v>
      </c>
      <c r="Z14" s="944">
        <v>0</v>
      </c>
      <c r="AA14" s="944">
        <v>1.6400000000000001E-2</v>
      </c>
      <c r="AB14" s="944">
        <v>2.8400000000000002E-2</v>
      </c>
      <c r="AC14" s="944">
        <v>2.6499999999999999E-2</v>
      </c>
      <c r="AD14" s="944">
        <v>2.4799999999999999E-2</v>
      </c>
    </row>
    <row r="15" spans="2:30" x14ac:dyDescent="0.25">
      <c r="D15" s="84">
        <v>1</v>
      </c>
      <c r="E15" s="84">
        <v>26.944444444444443</v>
      </c>
      <c r="F15" s="84">
        <v>53.888888888888886</v>
      </c>
      <c r="G15" s="84">
        <v>108.16666666666666</v>
      </c>
      <c r="H15" s="84">
        <v>162.44444444444443</v>
      </c>
      <c r="I15" s="84">
        <v>156.94444444444443</v>
      </c>
      <c r="J15" s="84">
        <v>151.41666666666666</v>
      </c>
      <c r="K15" s="84">
        <v>148.66666666666669</v>
      </c>
      <c r="L15" s="84">
        <v>140.41666666666666</v>
      </c>
      <c r="N15" s="647">
        <v>2010</v>
      </c>
      <c r="O15" s="647">
        <v>2015</v>
      </c>
      <c r="P15" s="647">
        <v>2020</v>
      </c>
      <c r="Q15" s="647">
        <v>2025</v>
      </c>
      <c r="R15" s="647">
        <v>2030</v>
      </c>
      <c r="S15" s="647">
        <v>2035</v>
      </c>
      <c r="T15" s="647">
        <v>2040</v>
      </c>
      <c r="U15" s="647">
        <v>2045</v>
      </c>
      <c r="V15" s="647">
        <v>2050</v>
      </c>
    </row>
    <row r="16" spans="2:30" ht="66" x14ac:dyDescent="0.25">
      <c r="B16" t="s">
        <v>216</v>
      </c>
      <c r="M16" t="s">
        <v>799</v>
      </c>
      <c r="N16" s="84">
        <v>1</v>
      </c>
      <c r="O16" s="84">
        <v>26.944444444444443</v>
      </c>
      <c r="P16" s="84">
        <v>53.888888888888886</v>
      </c>
      <c r="Q16" s="84">
        <v>108.16666666666666</v>
      </c>
      <c r="R16" s="84">
        <v>162.44444444444443</v>
      </c>
      <c r="S16" s="84">
        <v>156.94444444444443</v>
      </c>
      <c r="T16" s="84">
        <v>151.41666666666666</v>
      </c>
      <c r="U16" s="84">
        <v>148.66666666666669</v>
      </c>
      <c r="V16" s="84">
        <v>140.41666666666666</v>
      </c>
    </row>
    <row r="17" spans="2:22" ht="39.6" x14ac:dyDescent="0.25">
      <c r="B17" t="s">
        <v>217</v>
      </c>
      <c r="C17" t="s">
        <v>78</v>
      </c>
      <c r="D17">
        <v>1</v>
      </c>
      <c r="E17">
        <v>29</v>
      </c>
      <c r="F17">
        <v>125</v>
      </c>
      <c r="G17">
        <v>45</v>
      </c>
      <c r="H17">
        <v>63</v>
      </c>
      <c r="I17">
        <v>37</v>
      </c>
      <c r="J17">
        <v>24</v>
      </c>
      <c r="K17">
        <v>26</v>
      </c>
      <c r="L17" s="649">
        <v>20.800000000000011</v>
      </c>
      <c r="M17" t="s">
        <v>1148</v>
      </c>
      <c r="N17" s="84">
        <v>0</v>
      </c>
      <c r="O17" s="84">
        <v>3.0555555555555571</v>
      </c>
      <c r="P17" s="84">
        <v>101.11111111111111</v>
      </c>
      <c r="Q17" s="84">
        <v>91.833333333333343</v>
      </c>
      <c r="R17" s="84">
        <v>100.55555555555557</v>
      </c>
      <c r="S17" s="84">
        <v>143.05555555555557</v>
      </c>
      <c r="T17" s="84">
        <v>172.58333333333334</v>
      </c>
      <c r="U17" s="84">
        <v>201.33333333333331</v>
      </c>
      <c r="V17" s="84">
        <v>230.38333333333335</v>
      </c>
    </row>
    <row r="18" spans="2:22" ht="66" x14ac:dyDescent="0.25">
      <c r="M18" t="s">
        <v>799</v>
      </c>
      <c r="N18" s="84">
        <v>1</v>
      </c>
      <c r="O18" s="84">
        <v>26.944444444444443</v>
      </c>
      <c r="P18" s="84">
        <v>53.888888888888886</v>
      </c>
      <c r="Q18" s="84">
        <v>108.16666666666666</v>
      </c>
      <c r="R18" s="84">
        <v>162.44444444444443</v>
      </c>
      <c r="S18" s="84">
        <v>156.94444444444443</v>
      </c>
      <c r="T18" s="84">
        <v>151.41666666666666</v>
      </c>
      <c r="U18" s="84">
        <v>148.66666666666669</v>
      </c>
      <c r="V18" s="84">
        <v>140.41666666666666</v>
      </c>
    </row>
    <row r="19" spans="2:22" ht="39.6" x14ac:dyDescent="0.25">
      <c r="C19" t="s">
        <v>143</v>
      </c>
      <c r="M19" t="s">
        <v>798</v>
      </c>
      <c r="N19">
        <v>1</v>
      </c>
      <c r="O19">
        <v>30</v>
      </c>
      <c r="P19">
        <v>155</v>
      </c>
      <c r="Q19">
        <v>200</v>
      </c>
      <c r="R19">
        <v>263</v>
      </c>
      <c r="S19">
        <v>300</v>
      </c>
      <c r="T19">
        <v>324</v>
      </c>
      <c r="U19">
        <v>350</v>
      </c>
      <c r="V19">
        <v>370.8</v>
      </c>
    </row>
    <row r="20" spans="2:22" x14ac:dyDescent="0.25">
      <c r="B20" t="s">
        <v>142</v>
      </c>
      <c r="N20">
        <v>2010</v>
      </c>
      <c r="O20">
        <v>2015</v>
      </c>
      <c r="P20">
        <v>2020</v>
      </c>
      <c r="Q20">
        <v>2025</v>
      </c>
      <c r="R20">
        <v>2030</v>
      </c>
      <c r="S20">
        <v>2035</v>
      </c>
      <c r="T20">
        <v>2040</v>
      </c>
      <c r="U20">
        <v>2045</v>
      </c>
      <c r="V20">
        <v>2050</v>
      </c>
    </row>
    <row r="21" spans="2:22" ht="66" x14ac:dyDescent="0.25">
      <c r="C21" t="s">
        <v>7</v>
      </c>
      <c r="D21" t="s">
        <v>134</v>
      </c>
      <c r="E21" t="s">
        <v>135</v>
      </c>
      <c r="F21" t="s">
        <v>136</v>
      </c>
      <c r="G21" t="s">
        <v>137</v>
      </c>
    </row>
    <row r="22" spans="2:22" x14ac:dyDescent="0.25">
      <c r="D22">
        <v>3.6</v>
      </c>
      <c r="E22">
        <v>2.3883999999999999E-2</v>
      </c>
      <c r="F22">
        <v>10</v>
      </c>
    </row>
    <row r="23" spans="2:22" x14ac:dyDescent="0.25">
      <c r="B23" t="s">
        <v>146</v>
      </c>
      <c r="C23" t="s">
        <v>147</v>
      </c>
      <c r="D23" s="84">
        <v>10</v>
      </c>
      <c r="E23" s="84">
        <v>300</v>
      </c>
      <c r="F23" s="84">
        <v>1550</v>
      </c>
      <c r="G23" s="84">
        <v>2000</v>
      </c>
      <c r="H23" s="84">
        <v>2630</v>
      </c>
      <c r="I23" s="84">
        <v>3000</v>
      </c>
      <c r="J23" s="84">
        <v>3240</v>
      </c>
      <c r="K23" s="84">
        <v>3500</v>
      </c>
      <c r="L23" s="651">
        <v>3708</v>
      </c>
    </row>
    <row r="24" spans="2:22" x14ac:dyDescent="0.25">
      <c r="B24" t="s">
        <v>146</v>
      </c>
      <c r="C24" t="s">
        <v>65</v>
      </c>
      <c r="D24" s="84">
        <v>36</v>
      </c>
      <c r="E24" s="84">
        <v>1080</v>
      </c>
      <c r="F24" s="84">
        <v>5580</v>
      </c>
      <c r="G24" s="84">
        <v>7200</v>
      </c>
      <c r="H24" s="84">
        <v>9468</v>
      </c>
      <c r="I24" s="84">
        <v>10800</v>
      </c>
      <c r="J24" s="84">
        <v>11664</v>
      </c>
      <c r="K24" s="84">
        <v>12600</v>
      </c>
      <c r="L24" s="651">
        <v>13348.800000000001</v>
      </c>
    </row>
    <row r="25" spans="2:22" x14ac:dyDescent="0.25">
      <c r="B25" t="s">
        <v>218</v>
      </c>
      <c r="C25" t="s">
        <v>65</v>
      </c>
      <c r="D25">
        <v>36</v>
      </c>
      <c r="E25" s="84">
        <v>1044</v>
      </c>
      <c r="F25" s="84">
        <v>4500</v>
      </c>
      <c r="G25" s="84">
        <v>1620</v>
      </c>
      <c r="H25" s="84">
        <v>2268</v>
      </c>
      <c r="I25" s="84">
        <v>1332</v>
      </c>
      <c r="J25" s="84">
        <v>864</v>
      </c>
      <c r="K25" s="84">
        <v>936</v>
      </c>
      <c r="L25" s="651">
        <v>748.80000000000041</v>
      </c>
    </row>
    <row r="26" spans="2:22" x14ac:dyDescent="0.25">
      <c r="E26" s="84"/>
      <c r="F26" s="84"/>
      <c r="G26" s="84"/>
      <c r="H26" s="84"/>
      <c r="I26" s="84"/>
      <c r="J26" s="84"/>
      <c r="K26" s="84"/>
      <c r="L26" s="651"/>
    </row>
    <row r="27" spans="2:22" x14ac:dyDescent="0.25">
      <c r="B27" t="s">
        <v>146</v>
      </c>
      <c r="C27" t="s">
        <v>16</v>
      </c>
      <c r="D27" s="16">
        <v>0.85982399999999992</v>
      </c>
      <c r="E27" s="84">
        <v>25.794719999999998</v>
      </c>
      <c r="F27" s="84">
        <v>133.27271999999999</v>
      </c>
      <c r="G27" s="84">
        <v>171.9648</v>
      </c>
      <c r="H27" s="84">
        <v>226.133712</v>
      </c>
      <c r="I27" s="84">
        <v>257.94720000000001</v>
      </c>
      <c r="J27" s="84">
        <v>278.58297599999997</v>
      </c>
      <c r="K27" s="84">
        <v>300.9384</v>
      </c>
      <c r="L27" s="651">
        <v>318.8227392</v>
      </c>
    </row>
    <row r="28" spans="2:22" x14ac:dyDescent="0.25">
      <c r="D28" s="18"/>
      <c r="E28" s="18"/>
      <c r="F28" s="18">
        <v>92</v>
      </c>
      <c r="G28" s="18"/>
      <c r="H28" s="18"/>
      <c r="I28" s="18"/>
      <c r="J28" s="18"/>
      <c r="K28" s="18"/>
      <c r="L28" s="652"/>
    </row>
    <row r="29" spans="2:22" ht="26.4" x14ac:dyDescent="0.25">
      <c r="B29" t="s">
        <v>149</v>
      </c>
      <c r="D29" s="18"/>
      <c r="E29" s="18"/>
      <c r="F29" s="18"/>
      <c r="G29" s="18"/>
      <c r="H29" s="18"/>
      <c r="I29" s="18"/>
      <c r="J29" s="18"/>
      <c r="K29" s="18"/>
      <c r="L29" s="652"/>
    </row>
    <row r="30" spans="2:22" x14ac:dyDescent="0.25">
      <c r="B30" t="s">
        <v>603</v>
      </c>
      <c r="C30" t="s">
        <v>65</v>
      </c>
      <c r="D30" s="18">
        <v>0</v>
      </c>
      <c r="E30" s="18">
        <v>970</v>
      </c>
      <c r="F30" s="18">
        <v>1940</v>
      </c>
      <c r="G30" s="18">
        <v>3894</v>
      </c>
      <c r="H30" s="18">
        <v>5848</v>
      </c>
      <c r="I30" s="18">
        <v>5650</v>
      </c>
      <c r="J30" s="18">
        <v>5451</v>
      </c>
      <c r="K30" s="18">
        <v>5352</v>
      </c>
      <c r="L30" s="652">
        <v>5055</v>
      </c>
    </row>
    <row r="31" spans="2:22" x14ac:dyDescent="0.25">
      <c r="C31" t="s">
        <v>16</v>
      </c>
      <c r="D31" s="18">
        <v>0</v>
      </c>
      <c r="E31" s="18">
        <v>23.2</v>
      </c>
      <c r="F31" s="18">
        <v>46.3</v>
      </c>
      <c r="G31" s="18">
        <v>93</v>
      </c>
      <c r="H31" s="18">
        <v>139.69999999999999</v>
      </c>
      <c r="I31" s="18">
        <v>134.9</v>
      </c>
      <c r="J31" s="18">
        <v>130.19999999999999</v>
      </c>
      <c r="K31" s="18">
        <v>127.8</v>
      </c>
      <c r="L31" s="652">
        <v>120.7</v>
      </c>
    </row>
    <row r="32" spans="2:22" x14ac:dyDescent="0.25">
      <c r="D32" s="18"/>
      <c r="E32" s="18"/>
      <c r="F32" s="18" t="s">
        <v>7</v>
      </c>
      <c r="G32" s="18"/>
      <c r="H32" s="18"/>
      <c r="I32" s="18"/>
      <c r="J32" s="18"/>
      <c r="K32" s="18"/>
      <c r="L32" s="652"/>
    </row>
    <row r="33" spans="1:23" ht="26.4" x14ac:dyDescent="0.25">
      <c r="B33" t="s">
        <v>151</v>
      </c>
      <c r="C33" t="s">
        <v>65</v>
      </c>
      <c r="D33" s="84">
        <v>29886</v>
      </c>
      <c r="E33" s="84">
        <v>30550</v>
      </c>
      <c r="F33" s="84">
        <v>31214</v>
      </c>
      <c r="G33" s="84">
        <v>29871</v>
      </c>
      <c r="H33" s="84">
        <v>28528</v>
      </c>
      <c r="I33" s="84">
        <v>25275</v>
      </c>
      <c r="J33" s="84">
        <v>22021</v>
      </c>
      <c r="K33" s="84">
        <v>20395</v>
      </c>
      <c r="L33" s="651">
        <v>15515</v>
      </c>
    </row>
    <row r="34" spans="1:23" x14ac:dyDescent="0.25">
      <c r="C34" t="s">
        <v>16</v>
      </c>
      <c r="D34">
        <v>714</v>
      </c>
      <c r="E34">
        <v>730</v>
      </c>
      <c r="F34">
        <v>746</v>
      </c>
      <c r="G34">
        <v>713</v>
      </c>
      <c r="H34">
        <v>681</v>
      </c>
      <c r="I34">
        <v>604</v>
      </c>
      <c r="J34">
        <v>526</v>
      </c>
      <c r="K34">
        <v>487</v>
      </c>
      <c r="L34" s="649">
        <v>371</v>
      </c>
    </row>
    <row r="35" spans="1:23" ht="39.6" x14ac:dyDescent="0.25">
      <c r="B35" t="s">
        <v>153</v>
      </c>
      <c r="C35" t="s">
        <v>154</v>
      </c>
      <c r="D35" s="646">
        <v>0</v>
      </c>
      <c r="E35" s="646">
        <v>3.1751227495908349E-2</v>
      </c>
      <c r="F35" s="646">
        <v>6.2151598641635164E-2</v>
      </c>
      <c r="G35" s="646">
        <v>0.13036055036657629</v>
      </c>
      <c r="H35" s="646">
        <v>0.20499158721256311</v>
      </c>
      <c r="I35" s="646">
        <v>0.22354104846686448</v>
      </c>
      <c r="J35" s="646">
        <v>0.24753644248671722</v>
      </c>
      <c r="K35" s="646">
        <v>0.26241725913214026</v>
      </c>
      <c r="L35" s="653">
        <v>0.32581372864969382</v>
      </c>
    </row>
    <row r="36" spans="1:23" x14ac:dyDescent="0.25">
      <c r="B36" t="s">
        <v>602</v>
      </c>
      <c r="D36" s="18">
        <v>0</v>
      </c>
      <c r="E36" s="18">
        <v>0</v>
      </c>
      <c r="F36" s="18">
        <v>0</v>
      </c>
      <c r="G36" s="18">
        <v>0</v>
      </c>
      <c r="H36" s="18">
        <v>0</v>
      </c>
      <c r="I36" s="18">
        <v>0</v>
      </c>
      <c r="J36" s="18">
        <v>0</v>
      </c>
      <c r="K36" s="18">
        <v>0</v>
      </c>
      <c r="L36" s="652">
        <v>0</v>
      </c>
    </row>
    <row r="37" spans="1:23" ht="26.4" x14ac:dyDescent="0.25">
      <c r="B37" t="s">
        <v>811</v>
      </c>
      <c r="C37" t="s">
        <v>65</v>
      </c>
      <c r="D37" s="18">
        <v>36</v>
      </c>
      <c r="E37" s="18">
        <v>110</v>
      </c>
      <c r="F37" s="18">
        <v>3640</v>
      </c>
      <c r="G37" s="18">
        <v>3306</v>
      </c>
      <c r="H37" s="18">
        <v>3620</v>
      </c>
      <c r="I37" s="18">
        <v>5150</v>
      </c>
      <c r="J37" s="18">
        <v>6213</v>
      </c>
      <c r="K37" s="18">
        <v>7248</v>
      </c>
      <c r="L37" s="652">
        <v>8293.8000000000011</v>
      </c>
    </row>
    <row r="38" spans="1:23" x14ac:dyDescent="0.25">
      <c r="C38" t="s">
        <v>16</v>
      </c>
      <c r="D38" s="18">
        <v>0.85982399999999992</v>
      </c>
      <c r="E38" s="18">
        <v>2.62724</v>
      </c>
      <c r="F38" s="18">
        <v>86.937759999999997</v>
      </c>
      <c r="G38" s="18">
        <v>78.960504</v>
      </c>
      <c r="H38" s="18">
        <v>86.460079999999991</v>
      </c>
      <c r="I38" s="18">
        <v>123.0026</v>
      </c>
      <c r="J38" s="18">
        <v>148.39129199999999</v>
      </c>
      <c r="K38" s="18">
        <v>173.111232</v>
      </c>
      <c r="L38" s="652">
        <v>198.08911920000003</v>
      </c>
    </row>
    <row r="39" spans="1:23" ht="26.4" x14ac:dyDescent="0.25">
      <c r="B39" t="s">
        <v>156</v>
      </c>
      <c r="C39" t="s">
        <v>154</v>
      </c>
      <c r="D39" s="645">
        <v>0</v>
      </c>
      <c r="E39" s="645">
        <v>0.10185185185185185</v>
      </c>
      <c r="F39" s="645">
        <v>0.6523297491039427</v>
      </c>
      <c r="G39" s="645">
        <v>0.45916666666666667</v>
      </c>
      <c r="H39" s="645">
        <v>0.38234051542036335</v>
      </c>
      <c r="I39" s="645">
        <v>0.47685185185185186</v>
      </c>
      <c r="J39" s="645">
        <v>0.53266460905349799</v>
      </c>
      <c r="K39" s="645">
        <v>0.57523809523809522</v>
      </c>
      <c r="L39" s="650">
        <v>0.62131427544048912</v>
      </c>
      <c r="O39" s="647">
        <v>2010</v>
      </c>
      <c r="P39" s="647">
        <v>2015</v>
      </c>
      <c r="Q39" s="647">
        <v>2020</v>
      </c>
      <c r="R39" s="647">
        <v>2025</v>
      </c>
      <c r="S39" s="647">
        <v>2030</v>
      </c>
      <c r="T39" s="647">
        <v>2035</v>
      </c>
      <c r="U39" s="647">
        <v>2040</v>
      </c>
      <c r="V39" s="647">
        <v>2045</v>
      </c>
      <c r="W39" s="647">
        <v>2050</v>
      </c>
    </row>
    <row r="40" spans="1:23" ht="39.6" x14ac:dyDescent="0.25">
      <c r="N40" t="s">
        <v>1148</v>
      </c>
      <c r="O40" s="84">
        <v>0</v>
      </c>
      <c r="P40" s="84">
        <v>3.0555555555555571</v>
      </c>
      <c r="Q40" s="84">
        <v>101.11111111111111</v>
      </c>
      <c r="R40" s="84">
        <v>91.833333333333343</v>
      </c>
      <c r="S40" s="84">
        <v>100.55555555555557</v>
      </c>
      <c r="T40" s="84">
        <v>143.05555555555557</v>
      </c>
      <c r="U40" s="84">
        <v>172.58333333333334</v>
      </c>
      <c r="V40" s="84">
        <v>201.33333333333331</v>
      </c>
      <c r="W40" s="84">
        <v>230.38333333333335</v>
      </c>
    </row>
    <row r="41" spans="1:23" ht="66" x14ac:dyDescent="0.25">
      <c r="N41" t="s">
        <v>799</v>
      </c>
      <c r="O41" s="84">
        <v>1</v>
      </c>
      <c r="P41" s="84">
        <v>26.944444444444443</v>
      </c>
      <c r="Q41" s="84">
        <v>53.888888888888886</v>
      </c>
      <c r="R41" s="84">
        <v>108.16666666666666</v>
      </c>
      <c r="S41" s="84">
        <v>162.44444444444443</v>
      </c>
      <c r="T41" s="84">
        <v>156.94444444444443</v>
      </c>
      <c r="U41" s="84">
        <v>151.41666666666666</v>
      </c>
      <c r="V41" s="84">
        <v>148.66666666666669</v>
      </c>
      <c r="W41" s="84">
        <v>140.41666666666666</v>
      </c>
    </row>
    <row r="42" spans="1:23" ht="39.6" x14ac:dyDescent="0.25">
      <c r="N42" t="s">
        <v>798</v>
      </c>
      <c r="O42">
        <v>1</v>
      </c>
      <c r="P42">
        <v>30</v>
      </c>
      <c r="Q42">
        <v>155</v>
      </c>
      <c r="R42">
        <v>200</v>
      </c>
      <c r="S42">
        <v>263</v>
      </c>
      <c r="T42">
        <v>300</v>
      </c>
      <c r="U42">
        <v>324</v>
      </c>
      <c r="V42">
        <v>350</v>
      </c>
      <c r="W42">
        <v>370.8</v>
      </c>
    </row>
    <row r="43" spans="1:23" ht="15.6" x14ac:dyDescent="0.3">
      <c r="A43" s="657" t="s">
        <v>995</v>
      </c>
    </row>
    <row r="45" spans="1:23" ht="39.6" x14ac:dyDescent="0.25">
      <c r="C45" t="s">
        <v>989</v>
      </c>
      <c r="D45" s="84">
        <v>1</v>
      </c>
      <c r="E45" s="84">
        <v>26.944444444444443</v>
      </c>
      <c r="F45" s="84">
        <v>53.888888888888886</v>
      </c>
      <c r="G45" s="84">
        <v>108.16666666666666</v>
      </c>
      <c r="H45" s="84">
        <v>162.44444444444443</v>
      </c>
      <c r="I45" s="84">
        <v>156.94444444444443</v>
      </c>
      <c r="J45" s="84">
        <v>151.41666666666666</v>
      </c>
      <c r="K45" s="84">
        <v>148.66666666666669</v>
      </c>
      <c r="L45" s="651">
        <v>140.41666666666666</v>
      </c>
    </row>
    <row r="46" spans="1:23" ht="26.4" x14ac:dyDescent="0.25">
      <c r="A46" t="s">
        <v>230</v>
      </c>
      <c r="D46" s="323">
        <v>0</v>
      </c>
      <c r="E46" s="323">
        <v>17.611111111111111</v>
      </c>
      <c r="F46" s="323">
        <v>35.222222222222221</v>
      </c>
      <c r="G46" s="323">
        <v>86</v>
      </c>
      <c r="H46" s="323">
        <v>136.77777777777777</v>
      </c>
      <c r="I46" s="323">
        <v>140.75</v>
      </c>
      <c r="J46" s="323">
        <v>144.75</v>
      </c>
      <c r="K46" s="323">
        <v>146.74999999999997</v>
      </c>
      <c r="L46" s="654">
        <v>152.75</v>
      </c>
    </row>
    <row r="47" spans="1:23" ht="66" x14ac:dyDescent="0.25">
      <c r="A47" t="s">
        <v>7</v>
      </c>
      <c r="B47" t="s">
        <v>1149</v>
      </c>
      <c r="C47" t="s">
        <v>78</v>
      </c>
      <c r="D47" s="323">
        <v>0</v>
      </c>
      <c r="E47" s="323">
        <v>17.611111111111111</v>
      </c>
      <c r="F47" s="323">
        <v>35.222222222222221</v>
      </c>
      <c r="G47" s="323">
        <v>86</v>
      </c>
      <c r="H47" s="323">
        <v>136.77777777777777</v>
      </c>
      <c r="I47" s="323">
        <v>140.75</v>
      </c>
      <c r="J47" s="323">
        <v>144.75</v>
      </c>
      <c r="K47" s="323">
        <v>146.74999999999997</v>
      </c>
      <c r="L47" s="654">
        <v>152.75</v>
      </c>
      <c r="M47" t="s">
        <v>600</v>
      </c>
    </row>
    <row r="48" spans="1:23" ht="26.4" x14ac:dyDescent="0.25">
      <c r="A48" t="s">
        <v>7</v>
      </c>
      <c r="B48" t="s">
        <v>217</v>
      </c>
      <c r="C48" t="s">
        <v>78</v>
      </c>
      <c r="D48" s="323">
        <v>1</v>
      </c>
      <c r="E48" s="323">
        <v>17.611111111111111</v>
      </c>
      <c r="F48" s="323">
        <v>17.611111111111111</v>
      </c>
      <c r="G48" s="323">
        <v>50.777777777777779</v>
      </c>
      <c r="H48" s="323">
        <v>50.777777777777771</v>
      </c>
      <c r="I48" s="323">
        <v>3.9722222222222285</v>
      </c>
      <c r="J48" s="323">
        <v>4</v>
      </c>
      <c r="K48" s="323">
        <v>1.9999999999999716</v>
      </c>
      <c r="L48" s="654">
        <v>6.0000000000000284</v>
      </c>
      <c r="O48">
        <v>153.75</v>
      </c>
    </row>
    <row r="50" spans="2:30" x14ac:dyDescent="0.25">
      <c r="C50" t="s">
        <v>143</v>
      </c>
      <c r="D50">
        <v>2010</v>
      </c>
      <c r="E50">
        <v>2015</v>
      </c>
      <c r="F50">
        <v>2020</v>
      </c>
      <c r="G50">
        <v>2025</v>
      </c>
      <c r="H50">
        <v>2030</v>
      </c>
      <c r="I50">
        <v>2035</v>
      </c>
      <c r="J50">
        <v>2040</v>
      </c>
      <c r="K50">
        <v>2045</v>
      </c>
      <c r="L50" s="649">
        <v>2050</v>
      </c>
    </row>
    <row r="51" spans="2:30" x14ac:dyDescent="0.25">
      <c r="B51" t="s">
        <v>142</v>
      </c>
      <c r="C51" t="s">
        <v>7</v>
      </c>
    </row>
    <row r="52" spans="2:30" ht="66" x14ac:dyDescent="0.25">
      <c r="D52" t="s">
        <v>134</v>
      </c>
      <c r="E52" t="s">
        <v>135</v>
      </c>
      <c r="F52" t="s">
        <v>136</v>
      </c>
      <c r="G52" t="s">
        <v>137</v>
      </c>
    </row>
    <row r="53" spans="2:30" x14ac:dyDescent="0.25">
      <c r="D53">
        <v>3.6</v>
      </c>
      <c r="E53">
        <v>2.3883999999999999E-2</v>
      </c>
      <c r="F53">
        <v>10</v>
      </c>
    </row>
    <row r="54" spans="2:30" x14ac:dyDescent="0.25">
      <c r="B54" t="s">
        <v>146</v>
      </c>
      <c r="C54" t="s">
        <v>147</v>
      </c>
      <c r="D54" s="84">
        <v>0</v>
      </c>
      <c r="E54" s="84">
        <v>176.11111111111111</v>
      </c>
      <c r="F54" s="84">
        <v>352.22222222222223</v>
      </c>
      <c r="G54" s="84">
        <v>860</v>
      </c>
      <c r="H54" s="84">
        <v>1367.7777777777778</v>
      </c>
      <c r="I54" s="84">
        <v>1407.5</v>
      </c>
      <c r="J54" s="84">
        <v>1447.5</v>
      </c>
      <c r="K54" s="84">
        <v>1467.4999999999998</v>
      </c>
      <c r="L54" s="651">
        <v>1527.5</v>
      </c>
      <c r="M54" s="18"/>
      <c r="N54" s="18"/>
      <c r="U54">
        <v>2000</v>
      </c>
      <c r="V54">
        <v>2630</v>
      </c>
      <c r="W54">
        <v>3000</v>
      </c>
      <c r="X54">
        <v>3240</v>
      </c>
      <c r="Y54">
        <v>3500</v>
      </c>
      <c r="Z54">
        <v>3708</v>
      </c>
    </row>
    <row r="55" spans="2:30" x14ac:dyDescent="0.25">
      <c r="B55" t="s">
        <v>146</v>
      </c>
      <c r="C55" t="s">
        <v>65</v>
      </c>
      <c r="D55" s="84">
        <v>0</v>
      </c>
      <c r="E55" s="84">
        <v>634</v>
      </c>
      <c r="F55" s="84">
        <v>1268</v>
      </c>
      <c r="G55" s="84">
        <v>3096</v>
      </c>
      <c r="H55" s="84">
        <v>4924</v>
      </c>
      <c r="I55" s="84">
        <v>5067</v>
      </c>
      <c r="J55" s="84">
        <v>5211</v>
      </c>
      <c r="K55" s="84">
        <v>5282.9999999999991</v>
      </c>
      <c r="L55" s="651">
        <v>5499</v>
      </c>
      <c r="M55" s="18"/>
      <c r="N55" s="18"/>
      <c r="U55">
        <v>2000</v>
      </c>
      <c r="V55">
        <v>2630</v>
      </c>
      <c r="W55">
        <v>3000</v>
      </c>
      <c r="X55">
        <v>3240</v>
      </c>
      <c r="Y55">
        <v>3500</v>
      </c>
      <c r="Z55">
        <v>3708</v>
      </c>
    </row>
    <row r="56" spans="2:30" x14ac:dyDescent="0.25">
      <c r="B56" t="s">
        <v>218</v>
      </c>
      <c r="C56" t="s">
        <v>65</v>
      </c>
      <c r="D56">
        <v>36</v>
      </c>
      <c r="E56" s="84">
        <v>634</v>
      </c>
      <c r="F56" s="84">
        <v>634</v>
      </c>
      <c r="G56" s="84">
        <v>1828</v>
      </c>
      <c r="H56" s="84">
        <v>1827.9999999999998</v>
      </c>
      <c r="I56" s="84">
        <v>143.00000000000023</v>
      </c>
      <c r="J56" s="84">
        <v>144</v>
      </c>
      <c r="K56" s="84">
        <v>71.999999999998977</v>
      </c>
      <c r="L56" s="651">
        <v>216.00000000000102</v>
      </c>
      <c r="M56" s="84"/>
      <c r="N56" s="84"/>
      <c r="O56">
        <v>5535</v>
      </c>
    </row>
    <row r="57" spans="2:30" x14ac:dyDescent="0.25">
      <c r="E57" s="84"/>
      <c r="F57" s="84"/>
      <c r="G57" s="84"/>
      <c r="H57" s="84"/>
      <c r="I57" s="84"/>
      <c r="J57" s="84"/>
      <c r="K57" s="84"/>
      <c r="L57" s="651"/>
      <c r="M57" s="84"/>
      <c r="N57" s="84"/>
    </row>
    <row r="58" spans="2:30" x14ac:dyDescent="0.25">
      <c r="B58" t="s">
        <v>146</v>
      </c>
      <c r="C58" t="s">
        <v>16</v>
      </c>
      <c r="D58" s="16">
        <v>0</v>
      </c>
      <c r="E58" s="84">
        <v>15.142455999999999</v>
      </c>
      <c r="F58" s="84">
        <v>30.284911999999998</v>
      </c>
      <c r="G58" s="84">
        <v>73.944863999999995</v>
      </c>
      <c r="H58" s="84">
        <v>117.604816</v>
      </c>
      <c r="I58" s="84">
        <v>121.02022799999999</v>
      </c>
      <c r="J58" s="84">
        <v>124.45952399999999</v>
      </c>
      <c r="K58" s="84">
        <v>126.17917199999998</v>
      </c>
      <c r="L58" s="651">
        <v>131.33811599999999</v>
      </c>
      <c r="M58" s="84"/>
      <c r="N58" s="84"/>
      <c r="O58" t="s">
        <v>129</v>
      </c>
      <c r="P58" t="s">
        <v>129</v>
      </c>
    </row>
    <row r="59" spans="2:30" x14ac:dyDescent="0.25">
      <c r="D59" s="18"/>
      <c r="E59" s="18"/>
      <c r="F59" s="18">
        <v>92</v>
      </c>
      <c r="G59" s="18"/>
      <c r="H59" s="18"/>
      <c r="I59" s="18"/>
      <c r="J59" s="18"/>
      <c r="K59" s="18"/>
      <c r="L59" s="652"/>
      <c r="M59" s="18"/>
      <c r="N59" s="18"/>
      <c r="O59" t="s">
        <v>7</v>
      </c>
    </row>
    <row r="60" spans="2:30" ht="26.4" x14ac:dyDescent="0.25">
      <c r="B60" t="s">
        <v>149</v>
      </c>
      <c r="D60" s="18"/>
      <c r="E60" s="18"/>
      <c r="F60" s="18"/>
      <c r="G60" s="18"/>
      <c r="H60" s="18"/>
      <c r="I60" s="18"/>
      <c r="J60" s="18"/>
      <c r="K60" s="18"/>
      <c r="L60" s="652"/>
      <c r="M60" s="18"/>
      <c r="N60" s="18"/>
      <c r="O60">
        <v>0</v>
      </c>
      <c r="P60">
        <v>154910</v>
      </c>
      <c r="Q60" t="s">
        <v>7</v>
      </c>
    </row>
    <row r="61" spans="2:30" ht="39.6" x14ac:dyDescent="0.25">
      <c r="B61" t="s">
        <v>150</v>
      </c>
      <c r="C61" t="s">
        <v>65</v>
      </c>
      <c r="D61">
        <v>0</v>
      </c>
      <c r="E61">
        <v>634</v>
      </c>
      <c r="F61">
        <v>1268</v>
      </c>
      <c r="G61">
        <v>3096</v>
      </c>
      <c r="H61">
        <v>4924</v>
      </c>
      <c r="I61">
        <v>5067</v>
      </c>
      <c r="J61">
        <v>5211</v>
      </c>
      <c r="K61">
        <v>5283</v>
      </c>
      <c r="L61" s="649">
        <v>5499</v>
      </c>
      <c r="M61" s="18" t="s">
        <v>599</v>
      </c>
      <c r="O61">
        <v>30982</v>
      </c>
      <c r="P61">
        <v>5</v>
      </c>
      <c r="Q61" t="s">
        <v>7</v>
      </c>
      <c r="R61">
        <v>0</v>
      </c>
      <c r="S61" t="s">
        <v>7</v>
      </c>
      <c r="Y61" s="798"/>
      <c r="Z61" s="329">
        <v>2010</v>
      </c>
      <c r="AA61" s="329">
        <v>2015</v>
      </c>
      <c r="AB61" s="329">
        <v>2020</v>
      </c>
      <c r="AC61" s="329">
        <v>2025</v>
      </c>
      <c r="AD61" s="329">
        <v>2030</v>
      </c>
    </row>
    <row r="62" spans="2:30" ht="39.6" x14ac:dyDescent="0.25">
      <c r="C62" t="s">
        <v>16</v>
      </c>
      <c r="D62" s="84">
        <v>0</v>
      </c>
      <c r="E62" s="84">
        <v>15</v>
      </c>
      <c r="F62" s="84">
        <v>30</v>
      </c>
      <c r="G62" s="84">
        <v>74</v>
      </c>
      <c r="H62" s="84">
        <v>118</v>
      </c>
      <c r="I62" s="84">
        <v>121</v>
      </c>
      <c r="J62" s="84">
        <v>124</v>
      </c>
      <c r="K62" s="84">
        <v>126</v>
      </c>
      <c r="L62" s="651">
        <v>131</v>
      </c>
      <c r="M62" s="84"/>
      <c r="N62" s="84"/>
      <c r="Q62" s="84" t="s">
        <v>138</v>
      </c>
      <c r="R62" t="s">
        <v>139</v>
      </c>
      <c r="S62" t="s">
        <v>140</v>
      </c>
      <c r="Y62" s="947" t="s">
        <v>1215</v>
      </c>
      <c r="Z62" s="948">
        <v>0</v>
      </c>
      <c r="AA62" s="948">
        <v>1.7899999999999999E-2</v>
      </c>
      <c r="AB62" s="948">
        <v>3.5099999999999999E-2</v>
      </c>
      <c r="AC62" s="948">
        <v>4.4499999999999998E-2</v>
      </c>
      <c r="AD62" s="948">
        <v>5.4800000000000001E-2</v>
      </c>
    </row>
    <row r="63" spans="2:30" ht="26.4" x14ac:dyDescent="0.25">
      <c r="D63" s="18" t="s">
        <v>7</v>
      </c>
      <c r="E63" s="18" t="s">
        <v>7</v>
      </c>
      <c r="F63" s="18" t="s">
        <v>7</v>
      </c>
      <c r="G63" s="18" t="s">
        <v>7</v>
      </c>
      <c r="H63" s="18" t="s">
        <v>7</v>
      </c>
      <c r="I63" s="18" t="s">
        <v>7</v>
      </c>
      <c r="J63" s="18" t="s">
        <v>7</v>
      </c>
      <c r="K63" s="18" t="s">
        <v>7</v>
      </c>
      <c r="L63" s="652" t="s">
        <v>7</v>
      </c>
      <c r="M63" s="18"/>
      <c r="N63" s="18"/>
      <c r="Q63">
        <v>8.5980000000000001E-2</v>
      </c>
      <c r="R63" t="s">
        <v>141</v>
      </c>
      <c r="Y63" s="949" t="s">
        <v>1216</v>
      </c>
      <c r="Z63" s="950">
        <v>0</v>
      </c>
      <c r="AA63" s="950">
        <v>3.1699999999999999E-2</v>
      </c>
      <c r="AB63" s="950">
        <v>6.2E-2</v>
      </c>
      <c r="AC63" s="950">
        <v>0.13020000000000001</v>
      </c>
      <c r="AD63" s="950">
        <v>0.20499999999999999</v>
      </c>
    </row>
    <row r="64" spans="2:30" ht="27" thickBot="1" x14ac:dyDescent="0.3">
      <c r="B64" t="s">
        <v>151</v>
      </c>
      <c r="C64" t="s">
        <v>65</v>
      </c>
      <c r="D64" s="84">
        <v>29886</v>
      </c>
      <c r="E64" s="84">
        <v>32627</v>
      </c>
      <c r="F64" s="84">
        <v>35367</v>
      </c>
      <c r="G64" s="84">
        <v>37280</v>
      </c>
      <c r="H64" s="84">
        <v>39193</v>
      </c>
      <c r="I64" s="84">
        <v>37979</v>
      </c>
      <c r="J64" s="84">
        <v>36766</v>
      </c>
      <c r="K64" s="84">
        <v>36159</v>
      </c>
      <c r="L64" s="651">
        <v>34339</v>
      </c>
      <c r="M64" s="84"/>
      <c r="N64" s="84"/>
      <c r="Q64">
        <v>10</v>
      </c>
      <c r="R64" t="s">
        <v>144</v>
      </c>
      <c r="S64" t="s">
        <v>145</v>
      </c>
      <c r="Y64" s="943" t="s">
        <v>1212</v>
      </c>
      <c r="Z64" s="944">
        <v>0</v>
      </c>
      <c r="AA64" s="944">
        <v>4.9599999999999998E-2</v>
      </c>
      <c r="AB64" s="944">
        <v>9.7100000000000006E-2</v>
      </c>
      <c r="AC64" s="944">
        <v>0.17469999999999999</v>
      </c>
      <c r="AD64" s="944">
        <v>0.25979999999999998</v>
      </c>
    </row>
    <row r="65" spans="1:30" ht="14.4" thickBot="1" x14ac:dyDescent="0.3">
      <c r="C65" t="s">
        <v>16</v>
      </c>
      <c r="D65">
        <v>714</v>
      </c>
      <c r="E65">
        <v>779</v>
      </c>
      <c r="F65">
        <v>845</v>
      </c>
      <c r="G65">
        <v>890</v>
      </c>
      <c r="H65">
        <v>936</v>
      </c>
      <c r="I65">
        <v>907</v>
      </c>
      <c r="J65">
        <v>878</v>
      </c>
      <c r="K65">
        <v>864</v>
      </c>
      <c r="L65" s="649">
        <v>820</v>
      </c>
      <c r="O65" s="18" t="s">
        <v>7</v>
      </c>
      <c r="R65">
        <v>0</v>
      </c>
      <c r="S65">
        <v>300</v>
      </c>
      <c r="Y65" s="945" t="s">
        <v>1213</v>
      </c>
      <c r="Z65" s="946" t="s">
        <v>800</v>
      </c>
      <c r="AA65" s="946" t="s">
        <v>800</v>
      </c>
      <c r="AB65" s="946" t="s">
        <v>800</v>
      </c>
      <c r="AC65" s="946" t="s">
        <v>800</v>
      </c>
      <c r="AD65" s="946" t="s">
        <v>800</v>
      </c>
    </row>
    <row r="66" spans="1:30" ht="40.200000000000003" thickBot="1" x14ac:dyDescent="0.3">
      <c r="B66" t="s">
        <v>153</v>
      </c>
      <c r="C66" t="s">
        <v>154</v>
      </c>
      <c r="D66" s="67">
        <v>0</v>
      </c>
      <c r="E66" s="67">
        <v>1.9431758972630029E-2</v>
      </c>
      <c r="F66" s="67">
        <v>3.5852630983685359E-2</v>
      </c>
      <c r="G66" s="67">
        <v>8.3047210300429178E-2</v>
      </c>
      <c r="H66" s="67">
        <v>0.12563467966218458</v>
      </c>
      <c r="I66" s="67">
        <v>0.13341583506674742</v>
      </c>
      <c r="J66" s="67">
        <v>0.14173421095577435</v>
      </c>
      <c r="K66" s="67">
        <v>0.14610470422301503</v>
      </c>
      <c r="L66" s="655">
        <v>0.16013861789801684</v>
      </c>
      <c r="M66" s="67"/>
      <c r="N66" s="67"/>
      <c r="R66">
        <v>0</v>
      </c>
      <c r="S66">
        <v>300</v>
      </c>
      <c r="Y66" s="941" t="s">
        <v>1192</v>
      </c>
      <c r="Z66" s="942">
        <v>0</v>
      </c>
      <c r="AA66" s="942">
        <v>1.7999999999999999E-2</v>
      </c>
      <c r="AB66" s="942">
        <v>3.32E-2</v>
      </c>
      <c r="AC66" s="942">
        <v>2.9600000000000001E-2</v>
      </c>
      <c r="AD66" s="942">
        <v>2.64E-2</v>
      </c>
    </row>
    <row r="67" spans="1:30" ht="14.4" thickBot="1" x14ac:dyDescent="0.3">
      <c r="B67" t="s">
        <v>602</v>
      </c>
      <c r="D67" s="18"/>
      <c r="E67" s="18"/>
      <c r="F67" s="18"/>
      <c r="G67" s="18"/>
      <c r="H67" s="18"/>
      <c r="I67" s="18"/>
      <c r="J67" s="18"/>
      <c r="K67" s="18"/>
      <c r="L67" s="652"/>
      <c r="M67" s="18"/>
      <c r="N67" s="18"/>
      <c r="O67">
        <v>0</v>
      </c>
      <c r="P67">
        <v>0</v>
      </c>
      <c r="Y67" s="941" t="s">
        <v>1200</v>
      </c>
      <c r="Z67" s="942">
        <v>0</v>
      </c>
      <c r="AA67" s="942">
        <v>1.9400000000000001E-2</v>
      </c>
      <c r="AB67" s="942">
        <v>3.5700000000000003E-2</v>
      </c>
      <c r="AC67" s="942">
        <v>8.2900000000000001E-2</v>
      </c>
      <c r="AD67" s="942">
        <v>0.12559999999999999</v>
      </c>
    </row>
    <row r="68" spans="1:30" ht="40.200000000000003" thickBot="1" x14ac:dyDescent="0.3">
      <c r="B68" t="s">
        <v>155</v>
      </c>
      <c r="C68" t="s">
        <v>65</v>
      </c>
      <c r="D68" s="84">
        <v>0</v>
      </c>
      <c r="E68" s="84">
        <v>0</v>
      </c>
      <c r="F68" s="84">
        <v>0</v>
      </c>
      <c r="G68" s="84">
        <v>0</v>
      </c>
      <c r="H68" s="84">
        <v>0</v>
      </c>
      <c r="I68" s="84">
        <v>0</v>
      </c>
      <c r="J68" s="84">
        <v>0</v>
      </c>
      <c r="K68" s="84">
        <v>0</v>
      </c>
      <c r="L68" s="651">
        <v>0</v>
      </c>
      <c r="M68" s="18" t="s">
        <v>617</v>
      </c>
      <c r="N68" s="18"/>
      <c r="O68">
        <v>0</v>
      </c>
      <c r="Y68" s="943" t="s">
        <v>282</v>
      </c>
      <c r="Z68" s="944">
        <v>0</v>
      </c>
      <c r="AA68" s="944">
        <v>3.7400000000000003E-2</v>
      </c>
      <c r="AB68" s="944">
        <v>6.8900000000000003E-2</v>
      </c>
      <c r="AC68" s="944">
        <v>0.1125</v>
      </c>
      <c r="AD68" s="944">
        <v>0.152</v>
      </c>
    </row>
    <row r="69" spans="1:30" ht="14.4" thickBot="1" x14ac:dyDescent="0.3">
      <c r="C69" t="s">
        <v>16</v>
      </c>
      <c r="D69" s="18">
        <v>0</v>
      </c>
      <c r="E69" s="18">
        <v>0</v>
      </c>
      <c r="F69" s="18">
        <v>0</v>
      </c>
      <c r="G69" s="18">
        <v>0</v>
      </c>
      <c r="H69" s="18">
        <v>0</v>
      </c>
      <c r="I69" s="18">
        <v>0</v>
      </c>
      <c r="J69" s="18">
        <v>0</v>
      </c>
      <c r="K69" s="18">
        <v>0</v>
      </c>
      <c r="L69" s="652">
        <v>0</v>
      </c>
      <c r="M69" s="18"/>
      <c r="N69" s="18"/>
      <c r="P69" s="16" t="s">
        <v>7</v>
      </c>
      <c r="Y69" s="945" t="s">
        <v>1202</v>
      </c>
      <c r="Z69" s="946" t="s">
        <v>800</v>
      </c>
      <c r="AA69" s="946" t="s">
        <v>800</v>
      </c>
      <c r="AB69" s="946" t="s">
        <v>800</v>
      </c>
      <c r="AC69" s="946" t="s">
        <v>800</v>
      </c>
      <c r="AD69" s="946" t="s">
        <v>800</v>
      </c>
    </row>
    <row r="70" spans="1:30" ht="27" thickBot="1" x14ac:dyDescent="0.3">
      <c r="B70" t="s">
        <v>156</v>
      </c>
      <c r="C70" t="s">
        <v>154</v>
      </c>
      <c r="D70" s="646">
        <v>0</v>
      </c>
      <c r="E70" s="646">
        <v>0</v>
      </c>
      <c r="F70" s="646">
        <v>0</v>
      </c>
      <c r="G70" s="646">
        <v>0</v>
      </c>
      <c r="H70" s="646">
        <v>0</v>
      </c>
      <c r="I70" s="646">
        <v>0</v>
      </c>
      <c r="J70" s="646">
        <v>0</v>
      </c>
      <c r="K70" s="646">
        <v>0</v>
      </c>
      <c r="L70" s="653">
        <v>0</v>
      </c>
      <c r="M70" s="67"/>
      <c r="N70" s="67"/>
      <c r="Y70" s="941" t="s">
        <v>1201</v>
      </c>
      <c r="Z70" s="942">
        <v>0</v>
      </c>
      <c r="AA70" s="942">
        <v>1.6400000000000001E-2</v>
      </c>
      <c r="AB70" s="942">
        <v>2.8400000000000002E-2</v>
      </c>
      <c r="AC70" s="942">
        <v>2.6499999999999999E-2</v>
      </c>
      <c r="AD70" s="942">
        <v>2.4799999999999999E-2</v>
      </c>
    </row>
    <row r="71" spans="1:30" ht="14.4" thickBot="1" x14ac:dyDescent="0.3">
      <c r="A71">
        <v>0.1</v>
      </c>
      <c r="B71" t="s">
        <v>601</v>
      </c>
      <c r="D71" s="67"/>
      <c r="E71" s="67"/>
      <c r="F71" s="67"/>
      <c r="G71" s="67"/>
      <c r="H71" s="67"/>
      <c r="I71" s="67"/>
      <c r="J71" s="67"/>
      <c r="K71" s="67"/>
      <c r="L71" s="655"/>
      <c r="M71" s="67"/>
      <c r="N71" s="67"/>
      <c r="Y71" s="941" t="s">
        <v>1200</v>
      </c>
      <c r="Z71" s="942">
        <v>0</v>
      </c>
      <c r="AA71" s="942">
        <v>0</v>
      </c>
      <c r="AB71" s="942">
        <v>0</v>
      </c>
      <c r="AC71" s="942">
        <v>0</v>
      </c>
      <c r="AD71" s="942">
        <v>0</v>
      </c>
    </row>
    <row r="72" spans="1:30" ht="40.200000000000003" thickBot="1" x14ac:dyDescent="0.3">
      <c r="A72">
        <v>0.80249999999999999</v>
      </c>
      <c r="B72" t="s">
        <v>219</v>
      </c>
      <c r="D72" s="18">
        <v>0.80249999999999999</v>
      </c>
      <c r="E72" s="18"/>
      <c r="F72" s="18"/>
      <c r="G72" s="18"/>
      <c r="H72" s="18"/>
      <c r="I72" s="18"/>
      <c r="J72" s="18"/>
      <c r="K72" s="18"/>
      <c r="L72" s="652"/>
      <c r="M72" s="18"/>
      <c r="N72" s="18"/>
      <c r="Y72" s="943" t="s">
        <v>1214</v>
      </c>
      <c r="Z72" s="944">
        <v>0</v>
      </c>
      <c r="AA72" s="944">
        <v>1.6400000000000001E-2</v>
      </c>
      <c r="AB72" s="944">
        <v>2.8400000000000002E-2</v>
      </c>
      <c r="AC72" s="944">
        <v>2.6499999999999999E-2</v>
      </c>
      <c r="AD72" s="944">
        <v>2.4799999999999999E-2</v>
      </c>
    </row>
    <row r="73" spans="1:30" x14ac:dyDescent="0.25">
      <c r="A73">
        <v>28.89</v>
      </c>
      <c r="B73" t="s">
        <v>157</v>
      </c>
      <c r="C73" t="s">
        <v>158</v>
      </c>
      <c r="D73" s="18">
        <v>28.89</v>
      </c>
      <c r="E73" s="18">
        <v>28.89</v>
      </c>
      <c r="F73" s="18">
        <v>28.89</v>
      </c>
      <c r="G73" s="18">
        <v>28.89</v>
      </c>
      <c r="H73" s="18">
        <v>28.89</v>
      </c>
      <c r="I73" s="18">
        <v>28.89</v>
      </c>
      <c r="J73" s="18">
        <v>28.89</v>
      </c>
      <c r="K73" s="18">
        <v>28.89</v>
      </c>
      <c r="L73" s="652">
        <v>28.89</v>
      </c>
      <c r="M73" s="18"/>
      <c r="N73" s="18"/>
    </row>
    <row r="74" spans="1:30" ht="39.6" x14ac:dyDescent="0.25">
      <c r="A74" s="16">
        <v>17.31111111111111</v>
      </c>
      <c r="B74" t="s">
        <v>888</v>
      </c>
      <c r="C74" t="s">
        <v>158</v>
      </c>
      <c r="D74" s="18">
        <v>17.31111111111111</v>
      </c>
      <c r="E74" s="18">
        <v>17.31111111111111</v>
      </c>
      <c r="F74" s="18">
        <v>17.31111111111111</v>
      </c>
      <c r="G74" s="18">
        <v>17.31111111111111</v>
      </c>
      <c r="H74" s="18">
        <v>17.31111111111111</v>
      </c>
      <c r="I74" s="18">
        <v>17.31111111111111</v>
      </c>
      <c r="J74" s="18">
        <v>17.31111111111111</v>
      </c>
      <c r="K74" s="18">
        <v>17.31111111111111</v>
      </c>
      <c r="L74" s="652">
        <v>17.31111111111111</v>
      </c>
      <c r="M74" s="18" t="s">
        <v>734</v>
      </c>
      <c r="N74" s="18"/>
    </row>
    <row r="75" spans="1:30" ht="26.4" x14ac:dyDescent="0.25">
      <c r="A75" s="16" t="s">
        <v>800</v>
      </c>
      <c r="B75" t="s">
        <v>889</v>
      </c>
      <c r="C75" t="s">
        <v>158</v>
      </c>
      <c r="D75" s="18">
        <v>17.31111111111111</v>
      </c>
      <c r="E75" s="648">
        <v>20.774164299905326</v>
      </c>
      <c r="F75" s="648">
        <v>24.236525016556214</v>
      </c>
      <c r="G75" s="648">
        <v>25.967705374881657</v>
      </c>
      <c r="H75" s="648">
        <v>28.891155646225847</v>
      </c>
      <c r="I75" s="648">
        <v>28.891155646225847</v>
      </c>
      <c r="J75" s="648">
        <v>28.891155646225847</v>
      </c>
      <c r="K75" s="648">
        <v>28.891155646225847</v>
      </c>
      <c r="L75" s="656">
        <v>28.891155646225847</v>
      </c>
    </row>
    <row r="76" spans="1:30" ht="26.4" x14ac:dyDescent="0.25">
      <c r="B76" t="s">
        <v>805</v>
      </c>
      <c r="D76" s="18"/>
      <c r="E76" s="646">
        <v>0.16669999999999999</v>
      </c>
      <c r="F76" s="646">
        <v>0.1428571428571429</v>
      </c>
      <c r="G76" s="646">
        <v>6.6666666666666652E-2</v>
      </c>
      <c r="H76" s="646">
        <v>0.10118841583016047</v>
      </c>
      <c r="I76" s="18"/>
      <c r="J76" s="18"/>
      <c r="K76" s="18"/>
      <c r="L76" s="652"/>
      <c r="M76" s="18"/>
    </row>
    <row r="79" spans="1:30" x14ac:dyDescent="0.25">
      <c r="A79" t="s">
        <v>1150</v>
      </c>
    </row>
    <row r="80" spans="1:30" ht="39.6" x14ac:dyDescent="0.25">
      <c r="B80" t="s">
        <v>994</v>
      </c>
      <c r="C80" t="s">
        <v>798</v>
      </c>
      <c r="D80">
        <v>1</v>
      </c>
      <c r="E80">
        <v>30</v>
      </c>
      <c r="F80">
        <v>155</v>
      </c>
      <c r="G80">
        <v>200</v>
      </c>
      <c r="H80">
        <v>263</v>
      </c>
      <c r="I80">
        <v>300</v>
      </c>
      <c r="J80">
        <v>324</v>
      </c>
      <c r="K80">
        <v>350</v>
      </c>
      <c r="L80" s="649">
        <v>370.8</v>
      </c>
    </row>
    <row r="81" spans="1:26" ht="26.4" x14ac:dyDescent="0.25">
      <c r="A81" t="s">
        <v>231</v>
      </c>
      <c r="D81" s="323">
        <v>0</v>
      </c>
      <c r="E81" s="323">
        <v>0</v>
      </c>
      <c r="F81" s="323">
        <v>0</v>
      </c>
      <c r="G81" s="323">
        <v>0</v>
      </c>
      <c r="H81" s="323">
        <v>0</v>
      </c>
      <c r="I81" s="323">
        <v>0</v>
      </c>
      <c r="J81" s="323">
        <v>0</v>
      </c>
      <c r="K81" s="323">
        <v>0</v>
      </c>
      <c r="L81" s="654">
        <v>0</v>
      </c>
    </row>
    <row r="82" spans="1:26" ht="39.6" x14ac:dyDescent="0.25">
      <c r="A82" t="s">
        <v>7</v>
      </c>
      <c r="B82" t="s">
        <v>216</v>
      </c>
      <c r="C82" t="s">
        <v>78</v>
      </c>
      <c r="D82">
        <v>0</v>
      </c>
      <c r="E82">
        <v>0</v>
      </c>
      <c r="F82">
        <v>0</v>
      </c>
      <c r="G82">
        <v>0</v>
      </c>
      <c r="H82">
        <v>0</v>
      </c>
      <c r="I82">
        <v>0</v>
      </c>
      <c r="J82">
        <v>0</v>
      </c>
      <c r="K82">
        <v>0</v>
      </c>
      <c r="L82" s="649">
        <v>0</v>
      </c>
      <c r="M82" t="s">
        <v>600</v>
      </c>
    </row>
    <row r="83" spans="1:26" ht="26.4" x14ac:dyDescent="0.25">
      <c r="A83" t="s">
        <v>7</v>
      </c>
      <c r="B83" t="s">
        <v>217</v>
      </c>
      <c r="C83" t="s">
        <v>78</v>
      </c>
      <c r="D83">
        <v>1</v>
      </c>
      <c r="E83">
        <v>0</v>
      </c>
      <c r="F83">
        <v>0</v>
      </c>
      <c r="G83">
        <v>0</v>
      </c>
      <c r="H83">
        <v>0</v>
      </c>
      <c r="I83">
        <v>0</v>
      </c>
      <c r="J83">
        <v>0</v>
      </c>
      <c r="K83">
        <v>0</v>
      </c>
      <c r="L83" s="649">
        <v>0</v>
      </c>
      <c r="O83">
        <v>1</v>
      </c>
    </row>
    <row r="84" spans="1:26" x14ac:dyDescent="0.25">
      <c r="B84" t="s">
        <v>232</v>
      </c>
      <c r="C84" t="s">
        <v>78</v>
      </c>
      <c r="D84" s="84">
        <v>0</v>
      </c>
      <c r="E84" s="84">
        <v>0</v>
      </c>
      <c r="F84" s="84">
        <v>0</v>
      </c>
      <c r="G84" s="84">
        <v>0</v>
      </c>
      <c r="H84" s="84">
        <v>0</v>
      </c>
      <c r="I84" s="84">
        <v>0</v>
      </c>
      <c r="J84" s="84">
        <v>0</v>
      </c>
      <c r="K84" s="84">
        <v>0</v>
      </c>
      <c r="L84" s="651">
        <v>0</v>
      </c>
      <c r="N84" s="84"/>
    </row>
    <row r="85" spans="1:26" x14ac:dyDescent="0.25">
      <c r="C85" t="s">
        <v>143</v>
      </c>
      <c r="D85">
        <v>2010</v>
      </c>
      <c r="E85">
        <v>2015</v>
      </c>
      <c r="F85">
        <v>2020</v>
      </c>
      <c r="G85">
        <v>2025</v>
      </c>
      <c r="H85">
        <v>2030</v>
      </c>
      <c r="I85">
        <v>2035</v>
      </c>
      <c r="J85">
        <v>2040</v>
      </c>
      <c r="K85">
        <v>2045</v>
      </c>
      <c r="L85" s="649">
        <v>2050</v>
      </c>
    </row>
    <row r="86" spans="1:26" x14ac:dyDescent="0.25">
      <c r="B86" t="s">
        <v>142</v>
      </c>
    </row>
    <row r="87" spans="1:26" ht="66" x14ac:dyDescent="0.25">
      <c r="C87" t="s">
        <v>7</v>
      </c>
      <c r="D87" t="s">
        <v>134</v>
      </c>
      <c r="E87" t="s">
        <v>135</v>
      </c>
      <c r="F87" t="s">
        <v>136</v>
      </c>
      <c r="G87" t="s">
        <v>137</v>
      </c>
    </row>
    <row r="88" spans="1:26" ht="39.6" x14ac:dyDescent="0.25">
      <c r="B88" t="s">
        <v>994</v>
      </c>
      <c r="D88">
        <v>3.6</v>
      </c>
      <c r="E88">
        <v>2.3883999999999999E-2</v>
      </c>
      <c r="F88">
        <v>10</v>
      </c>
    </row>
    <row r="89" spans="1:26" x14ac:dyDescent="0.25">
      <c r="B89" t="s">
        <v>146</v>
      </c>
      <c r="C89" t="s">
        <v>147</v>
      </c>
      <c r="D89" s="18">
        <v>10</v>
      </c>
      <c r="E89" s="18">
        <v>300</v>
      </c>
      <c r="F89" s="18">
        <v>1550</v>
      </c>
      <c r="G89" s="18">
        <v>2000</v>
      </c>
      <c r="H89" s="18">
        <v>2630</v>
      </c>
      <c r="I89" s="18">
        <v>3000</v>
      </c>
      <c r="J89" s="18">
        <v>3240</v>
      </c>
      <c r="K89" s="18">
        <v>3500</v>
      </c>
      <c r="L89" s="652">
        <v>3708</v>
      </c>
      <c r="M89" s="18"/>
      <c r="N89" s="18"/>
      <c r="U89">
        <v>2000</v>
      </c>
      <c r="V89">
        <v>2630</v>
      </c>
      <c r="W89">
        <v>3000</v>
      </c>
      <c r="X89">
        <v>3240</v>
      </c>
      <c r="Y89">
        <v>3500</v>
      </c>
      <c r="Z89">
        <v>3708</v>
      </c>
    </row>
    <row r="90" spans="1:26" x14ac:dyDescent="0.25">
      <c r="B90" t="s">
        <v>146</v>
      </c>
      <c r="C90" t="s">
        <v>65</v>
      </c>
      <c r="D90" s="18">
        <v>36</v>
      </c>
      <c r="E90" s="18">
        <v>1080</v>
      </c>
      <c r="F90" s="18">
        <v>5580</v>
      </c>
      <c r="G90" s="18">
        <v>7200</v>
      </c>
      <c r="H90" s="18">
        <v>9468</v>
      </c>
      <c r="I90" s="18">
        <v>10800</v>
      </c>
      <c r="J90" s="18">
        <v>11664</v>
      </c>
      <c r="K90" s="18">
        <v>12600</v>
      </c>
      <c r="L90" s="652">
        <v>13348.800000000001</v>
      </c>
      <c r="M90" s="18"/>
      <c r="N90" s="18"/>
      <c r="U90">
        <v>2000</v>
      </c>
      <c r="V90">
        <v>2630</v>
      </c>
      <c r="W90">
        <v>3000</v>
      </c>
      <c r="X90">
        <v>3240</v>
      </c>
      <c r="Y90">
        <v>3500</v>
      </c>
      <c r="Z90">
        <v>3708</v>
      </c>
    </row>
    <row r="91" spans="1:26" x14ac:dyDescent="0.25">
      <c r="B91" t="s">
        <v>218</v>
      </c>
      <c r="C91" t="s">
        <v>65</v>
      </c>
      <c r="D91">
        <v>36</v>
      </c>
      <c r="E91" s="84">
        <v>0</v>
      </c>
      <c r="F91" s="84">
        <v>0</v>
      </c>
      <c r="G91" s="84">
        <v>0</v>
      </c>
      <c r="H91" s="84">
        <v>0</v>
      </c>
      <c r="I91" s="84">
        <v>0</v>
      </c>
      <c r="J91" s="84">
        <v>0</v>
      </c>
      <c r="K91" s="84">
        <v>0</v>
      </c>
      <c r="L91" s="651">
        <v>0</v>
      </c>
      <c r="M91" s="84"/>
      <c r="N91" s="84"/>
      <c r="O91">
        <v>36</v>
      </c>
    </row>
    <row r="92" spans="1:26" x14ac:dyDescent="0.25">
      <c r="E92" s="84"/>
      <c r="F92" s="84"/>
      <c r="G92" s="84"/>
      <c r="H92" s="84"/>
      <c r="I92" s="84"/>
      <c r="J92" s="84"/>
      <c r="K92" s="84"/>
      <c r="L92" s="651"/>
      <c r="M92" s="84"/>
      <c r="N92" s="84"/>
    </row>
    <row r="93" spans="1:26" x14ac:dyDescent="0.25">
      <c r="B93" t="s">
        <v>146</v>
      </c>
      <c r="C93" t="s">
        <v>16</v>
      </c>
      <c r="D93" s="16">
        <v>0.85982399999999992</v>
      </c>
      <c r="E93" s="84">
        <v>25.794719999999998</v>
      </c>
      <c r="F93" s="84">
        <v>133.27271999999999</v>
      </c>
      <c r="G93" s="84">
        <v>171.9648</v>
      </c>
      <c r="H93" s="84">
        <v>226.133712</v>
      </c>
      <c r="I93" s="84">
        <v>257.94720000000001</v>
      </c>
      <c r="J93" s="84">
        <v>278.58297599999997</v>
      </c>
      <c r="K93" s="84">
        <v>300.9384</v>
      </c>
      <c r="L93" s="651">
        <v>318.8227392</v>
      </c>
      <c r="M93" s="84"/>
      <c r="N93" s="84"/>
      <c r="O93" t="s">
        <v>129</v>
      </c>
      <c r="P93" t="s">
        <v>129</v>
      </c>
    </row>
    <row r="94" spans="1:26" x14ac:dyDescent="0.25">
      <c r="D94" s="18"/>
      <c r="E94" s="18"/>
      <c r="F94" s="18">
        <v>92</v>
      </c>
      <c r="G94" s="18"/>
      <c r="H94" s="18"/>
      <c r="I94" s="18"/>
      <c r="J94" s="18"/>
      <c r="K94" s="18"/>
      <c r="L94" s="652"/>
      <c r="M94" s="18"/>
      <c r="N94" s="18"/>
      <c r="O94" t="s">
        <v>7</v>
      </c>
    </row>
    <row r="95" spans="1:26" ht="26.4" x14ac:dyDescent="0.25">
      <c r="B95" t="s">
        <v>149</v>
      </c>
      <c r="D95" s="18"/>
      <c r="E95" s="18"/>
      <c r="F95" s="18"/>
      <c r="G95" s="18"/>
      <c r="H95" s="18"/>
      <c r="I95" s="18"/>
      <c r="J95" s="18"/>
      <c r="K95" s="18"/>
      <c r="L95" s="652"/>
      <c r="M95" s="18"/>
      <c r="N95" s="18"/>
      <c r="O95">
        <v>0</v>
      </c>
      <c r="P95">
        <v>0</v>
      </c>
      <c r="Q95" t="s">
        <v>7</v>
      </c>
    </row>
    <row r="96" spans="1:26" ht="26.4" x14ac:dyDescent="0.25">
      <c r="A96" t="s">
        <v>884</v>
      </c>
      <c r="B96" t="s">
        <v>739</v>
      </c>
      <c r="C96" t="s">
        <v>65</v>
      </c>
      <c r="D96">
        <v>0</v>
      </c>
      <c r="E96">
        <v>0</v>
      </c>
      <c r="F96">
        <v>0</v>
      </c>
      <c r="G96">
        <v>0</v>
      </c>
      <c r="H96">
        <v>0</v>
      </c>
      <c r="I96">
        <v>0</v>
      </c>
      <c r="J96">
        <v>0</v>
      </c>
      <c r="K96">
        <v>0</v>
      </c>
      <c r="L96" s="649">
        <v>0</v>
      </c>
      <c r="M96" s="18" t="s">
        <v>618</v>
      </c>
      <c r="O96">
        <v>0</v>
      </c>
      <c r="P96">
        <v>5</v>
      </c>
      <c r="Q96" t="s">
        <v>7</v>
      </c>
      <c r="R96">
        <v>0</v>
      </c>
      <c r="S96" t="s">
        <v>7</v>
      </c>
    </row>
    <row r="97" spans="1:23" ht="39.6" x14ac:dyDescent="0.25">
      <c r="C97" t="s">
        <v>16</v>
      </c>
      <c r="D97">
        <v>0</v>
      </c>
      <c r="E97">
        <v>5</v>
      </c>
      <c r="F97">
        <v>10</v>
      </c>
      <c r="G97">
        <v>23</v>
      </c>
      <c r="H97">
        <v>36</v>
      </c>
      <c r="I97">
        <v>35</v>
      </c>
      <c r="J97">
        <v>35</v>
      </c>
      <c r="K97">
        <v>35</v>
      </c>
      <c r="L97" s="649">
        <v>34</v>
      </c>
      <c r="Q97" s="84" t="s">
        <v>138</v>
      </c>
      <c r="R97" t="s">
        <v>139</v>
      </c>
      <c r="S97" t="s">
        <v>140</v>
      </c>
    </row>
    <row r="100" spans="1:23" x14ac:dyDescent="0.25">
      <c r="A100" s="798"/>
    </row>
    <row r="101" spans="1:23" x14ac:dyDescent="0.25">
      <c r="A101" s="798"/>
      <c r="B101" s="329">
        <v>2010</v>
      </c>
      <c r="C101" s="329">
        <v>2015</v>
      </c>
      <c r="D101" s="329">
        <v>2020</v>
      </c>
      <c r="E101" s="329">
        <v>2025</v>
      </c>
      <c r="F101" s="329">
        <v>2030</v>
      </c>
      <c r="O101" s="647">
        <v>2010</v>
      </c>
      <c r="P101" s="647">
        <v>2015</v>
      </c>
      <c r="Q101" s="647">
        <v>2020</v>
      </c>
      <c r="R101" s="647">
        <v>2025</v>
      </c>
      <c r="S101" s="647">
        <v>2030</v>
      </c>
      <c r="T101" s="647">
        <v>2035</v>
      </c>
      <c r="U101" s="647">
        <v>2040</v>
      </c>
      <c r="V101" s="647">
        <v>2045</v>
      </c>
      <c r="W101" s="647">
        <v>2050</v>
      </c>
    </row>
    <row r="102" spans="1:23" ht="66" x14ac:dyDescent="0.25">
      <c r="A102" s="798"/>
      <c r="B102" s="329">
        <v>2010</v>
      </c>
      <c r="C102" s="329">
        <v>2015</v>
      </c>
      <c r="D102" s="329">
        <v>2020</v>
      </c>
      <c r="E102" s="329">
        <v>2025</v>
      </c>
      <c r="F102" s="329">
        <v>2030</v>
      </c>
      <c r="N102" t="s">
        <v>799</v>
      </c>
      <c r="O102" s="84">
        <v>1</v>
      </c>
      <c r="P102" s="84">
        <v>26.944444444444443</v>
      </c>
      <c r="Q102" s="84">
        <v>53.888888888888886</v>
      </c>
      <c r="R102" s="84">
        <v>108.16666666666666</v>
      </c>
      <c r="S102" s="84">
        <v>162.44444444444443</v>
      </c>
      <c r="T102" s="84">
        <v>156.94444444444443</v>
      </c>
      <c r="U102" s="84">
        <v>151.41666666666666</v>
      </c>
      <c r="V102" s="84">
        <v>148.66666666666669</v>
      </c>
      <c r="W102" s="84">
        <v>140.41666666666666</v>
      </c>
    </row>
    <row r="103" spans="1:23" ht="39.6" x14ac:dyDescent="0.25">
      <c r="A103" s="947" t="s">
        <v>1215</v>
      </c>
      <c r="B103" s="948">
        <v>0</v>
      </c>
      <c r="C103" s="948">
        <v>1.7899999999999999E-2</v>
      </c>
      <c r="D103" s="948">
        <v>3.5099999999999999E-2</v>
      </c>
      <c r="E103" s="948">
        <v>4.4499999999999998E-2</v>
      </c>
      <c r="F103" s="948">
        <v>5.4800000000000001E-2</v>
      </c>
      <c r="N103" t="s">
        <v>1148</v>
      </c>
      <c r="O103" s="84">
        <v>0</v>
      </c>
      <c r="P103" s="84">
        <v>3.0555555555555571</v>
      </c>
      <c r="Q103" s="84">
        <v>101.11111111111111</v>
      </c>
      <c r="R103" s="84">
        <v>91.833333333333343</v>
      </c>
      <c r="S103" s="84">
        <v>100.55555555555557</v>
      </c>
      <c r="T103" s="84">
        <v>143.05555555555557</v>
      </c>
      <c r="U103" s="84">
        <v>172.58333333333334</v>
      </c>
      <c r="V103" s="84">
        <v>201.33333333333331</v>
      </c>
      <c r="W103" s="84">
        <v>230.38333333333335</v>
      </c>
    </row>
    <row r="104" spans="1:23" ht="26.4" x14ac:dyDescent="0.25">
      <c r="A104" s="949" t="s">
        <v>1216</v>
      </c>
      <c r="B104" s="950">
        <v>0</v>
      </c>
      <c r="C104" s="950">
        <v>3.1699999999999999E-2</v>
      </c>
      <c r="D104" s="950">
        <v>6.2E-2</v>
      </c>
      <c r="E104" s="950">
        <v>0.13020000000000001</v>
      </c>
      <c r="F104" s="950">
        <v>0.20499999999999999</v>
      </c>
      <c r="N104" t="s">
        <v>1221</v>
      </c>
      <c r="O104">
        <v>0</v>
      </c>
      <c r="P104">
        <v>0</v>
      </c>
      <c r="Q104" s="323">
        <f>F138/1000000</f>
        <v>50.107062321502063</v>
      </c>
      <c r="R104" s="323">
        <f t="shared" ref="R104:W104" si="0">G138/1000000</f>
        <v>60.777346596939566</v>
      </c>
      <c r="S104" s="323">
        <f t="shared" si="0"/>
        <v>71.447630872377033</v>
      </c>
      <c r="T104" s="323">
        <f t="shared" si="0"/>
        <v>58.643052475482797</v>
      </c>
      <c r="U104" s="323">
        <f t="shared" si="0"/>
        <v>45.838474078588533</v>
      </c>
      <c r="V104" s="323">
        <f t="shared" si="0"/>
        <v>39.436184880141404</v>
      </c>
      <c r="W104" s="323">
        <f t="shared" si="0"/>
        <v>20.229317284800015</v>
      </c>
    </row>
    <row r="105" spans="1:23" ht="27" thickBot="1" x14ac:dyDescent="0.3">
      <c r="A105" s="941" t="s">
        <v>1217</v>
      </c>
      <c r="B105" s="942">
        <v>0</v>
      </c>
      <c r="C105" s="942">
        <v>1.7999999999999999E-2</v>
      </c>
      <c r="D105" s="942">
        <v>3.32E-2</v>
      </c>
      <c r="E105" s="942">
        <v>2.9600000000000001E-2</v>
      </c>
      <c r="F105" s="942">
        <v>2.64E-2</v>
      </c>
      <c r="N105" t="s">
        <v>1222</v>
      </c>
      <c r="O105">
        <v>0</v>
      </c>
      <c r="P105">
        <v>0</v>
      </c>
      <c r="Q105" s="323">
        <f>F146/1000000</f>
        <v>73.352937678497923</v>
      </c>
      <c r="R105" s="323">
        <f t="shared" ref="R105:W105" si="1">G146/1000000</f>
        <v>62.682653403060428</v>
      </c>
      <c r="S105" s="323">
        <f t="shared" si="1"/>
        <v>200.1643691276229</v>
      </c>
      <c r="T105" s="323">
        <f t="shared" si="1"/>
        <v>212.9689475245172</v>
      </c>
      <c r="U105" s="323">
        <f t="shared" si="1"/>
        <v>225.77352592141145</v>
      </c>
      <c r="V105" s="323">
        <f t="shared" si="1"/>
        <v>232.17581511985856</v>
      </c>
      <c r="W105" s="323">
        <f t="shared" si="1"/>
        <v>251.38268271519999</v>
      </c>
    </row>
    <row r="106" spans="1:23" ht="14.4" thickBot="1" x14ac:dyDescent="0.3">
      <c r="A106" s="941" t="s">
        <v>1218</v>
      </c>
      <c r="B106" s="942">
        <v>0</v>
      </c>
      <c r="C106" s="942">
        <v>1.9400000000000001E-2</v>
      </c>
      <c r="D106" s="942">
        <v>3.5700000000000003E-2</v>
      </c>
      <c r="E106" s="942">
        <v>8.2900000000000001E-2</v>
      </c>
      <c r="F106" s="942">
        <v>0.12559999999999999</v>
      </c>
    </row>
    <row r="107" spans="1:23" ht="14.4" thickBot="1" x14ac:dyDescent="0.3">
      <c r="A107" s="941" t="s">
        <v>1220</v>
      </c>
      <c r="B107" s="942">
        <v>0</v>
      </c>
      <c r="C107" s="942">
        <v>-1.6400000000000001E-2</v>
      </c>
      <c r="D107" s="942">
        <v>-2.8400000000000002E-2</v>
      </c>
      <c r="E107" s="942">
        <v>-2.6499999999999999E-2</v>
      </c>
      <c r="F107" s="942">
        <v>-2.4799999999999999E-2</v>
      </c>
    </row>
    <row r="108" spans="1:23" ht="14.4" thickBot="1" x14ac:dyDescent="0.3">
      <c r="A108" s="941" t="s">
        <v>1219</v>
      </c>
      <c r="B108" s="942">
        <v>0</v>
      </c>
      <c r="C108" s="942">
        <v>0</v>
      </c>
      <c r="D108" s="942">
        <v>0</v>
      </c>
      <c r="E108" s="942">
        <v>0</v>
      </c>
      <c r="F108" s="942">
        <v>0</v>
      </c>
      <c r="N108" s="952"/>
      <c r="O108" s="952">
        <v>2010</v>
      </c>
      <c r="P108" s="952">
        <v>2015</v>
      </c>
      <c r="Q108" s="952">
        <v>2020</v>
      </c>
      <c r="R108" s="952">
        <v>2025</v>
      </c>
      <c r="S108" s="952">
        <v>2030</v>
      </c>
      <c r="T108" s="952">
        <v>2035</v>
      </c>
      <c r="U108" s="952">
        <v>2040</v>
      </c>
      <c r="V108" s="952">
        <v>2045</v>
      </c>
      <c r="W108" s="952">
        <v>2050</v>
      </c>
    </row>
    <row r="109" spans="1:23" ht="66.599999999999994" thickBot="1" x14ac:dyDescent="0.3">
      <c r="A109" s="943" t="s">
        <v>1214</v>
      </c>
      <c r="B109" s="944">
        <v>0</v>
      </c>
      <c r="C109" s="944">
        <v>1.6400000000000001E-2</v>
      </c>
      <c r="D109" s="944">
        <v>2.8400000000000002E-2</v>
      </c>
      <c r="E109" s="944">
        <v>2.6499999999999999E-2</v>
      </c>
      <c r="F109" s="944">
        <v>2.4799999999999999E-2</v>
      </c>
      <c r="N109" s="952" t="s">
        <v>799</v>
      </c>
      <c r="O109" s="953">
        <v>1</v>
      </c>
      <c r="P109" s="953">
        <v>26.944444444444443</v>
      </c>
      <c r="Q109" s="953">
        <v>53.888888888888886</v>
      </c>
      <c r="R109" s="953">
        <v>108.16666666666666</v>
      </c>
      <c r="S109" s="953">
        <v>162.44444444444443</v>
      </c>
      <c r="T109" s="953">
        <v>156.94444444444443</v>
      </c>
      <c r="U109" s="953">
        <v>151.41666666666666</v>
      </c>
      <c r="V109" s="953">
        <v>148.66666666666669</v>
      </c>
      <c r="W109" s="953">
        <v>140.41666666666666</v>
      </c>
    </row>
    <row r="110" spans="1:23" ht="52.8" x14ac:dyDescent="0.25">
      <c r="N110" s="952" t="s">
        <v>1223</v>
      </c>
      <c r="O110" s="952">
        <v>0</v>
      </c>
      <c r="P110" s="952">
        <v>0</v>
      </c>
      <c r="Q110" s="954">
        <v>50.107062321502063</v>
      </c>
      <c r="R110" s="954">
        <v>60.777346596939566</v>
      </c>
      <c r="S110" s="954">
        <v>71.447630872377033</v>
      </c>
      <c r="T110" s="954">
        <v>58.643052475482797</v>
      </c>
      <c r="U110" s="954">
        <v>45.838474078588533</v>
      </c>
      <c r="V110" s="954">
        <v>39.436184880141404</v>
      </c>
      <c r="W110" s="954">
        <v>20.229317284800015</v>
      </c>
    </row>
    <row r="111" spans="1:23" ht="39.6" x14ac:dyDescent="0.25">
      <c r="B111" s="329">
        <v>2010</v>
      </c>
      <c r="C111" s="329">
        <v>2015</v>
      </c>
      <c r="D111" s="329">
        <v>2020</v>
      </c>
      <c r="E111" s="329">
        <v>2025</v>
      </c>
      <c r="F111" s="329">
        <v>2030</v>
      </c>
      <c r="N111" s="952" t="s">
        <v>1224</v>
      </c>
      <c r="O111" s="952">
        <v>0</v>
      </c>
      <c r="P111" s="952">
        <v>0</v>
      </c>
      <c r="Q111" s="954">
        <v>73.352937678497923</v>
      </c>
      <c r="R111" s="954">
        <v>62.682653403060428</v>
      </c>
      <c r="S111" s="954">
        <v>200.1643691276229</v>
      </c>
      <c r="T111" s="954">
        <v>212.9689475245172</v>
      </c>
      <c r="U111" s="954">
        <v>225.77352592141145</v>
      </c>
      <c r="V111" s="954">
        <v>232.17581511985856</v>
      </c>
      <c r="W111" s="954">
        <v>251.38268271519999</v>
      </c>
    </row>
    <row r="112" spans="1:23" ht="40.200000000000003" thickBot="1" x14ac:dyDescent="0.3">
      <c r="A112" s="941" t="s">
        <v>1217</v>
      </c>
      <c r="B112" s="942">
        <v>0</v>
      </c>
      <c r="C112" s="942">
        <v>1.7999999999999999E-2</v>
      </c>
      <c r="D112" s="942">
        <v>3.32E-2</v>
      </c>
      <c r="E112" s="942">
        <v>2.9600000000000001E-2</v>
      </c>
      <c r="F112" s="942">
        <v>2.64E-2</v>
      </c>
      <c r="N112" s="952" t="s">
        <v>1148</v>
      </c>
      <c r="O112" s="953">
        <v>0</v>
      </c>
      <c r="P112" s="953">
        <v>3.0555555555555571</v>
      </c>
      <c r="Q112" s="953">
        <v>101.11111111111111</v>
      </c>
      <c r="R112" s="953">
        <v>91.833333333333343</v>
      </c>
      <c r="S112" s="953">
        <v>100.55555555555557</v>
      </c>
      <c r="T112" s="953">
        <v>143.05555555555557</v>
      </c>
      <c r="U112" s="953">
        <v>172.58333333333334</v>
      </c>
      <c r="V112" s="953">
        <v>201.33333333333331</v>
      </c>
      <c r="W112" s="953">
        <v>230.38333333333335</v>
      </c>
    </row>
    <row r="113" spans="1:16" ht="14.4" thickBot="1" x14ac:dyDescent="0.3">
      <c r="A113" s="941" t="s">
        <v>1218</v>
      </c>
      <c r="B113" s="942">
        <v>0</v>
      </c>
      <c r="C113" s="942">
        <v>1.9400000000000001E-2</v>
      </c>
      <c r="D113" s="942">
        <v>3.5700000000000003E-2</v>
      </c>
      <c r="E113" s="942">
        <v>8.2900000000000001E-2</v>
      </c>
      <c r="F113" s="942">
        <v>0.12559999999999999</v>
      </c>
    </row>
    <row r="114" spans="1:16" x14ac:dyDescent="0.25">
      <c r="B114" s="329">
        <v>2010</v>
      </c>
      <c r="C114" s="329">
        <v>2015</v>
      </c>
      <c r="D114" s="329">
        <v>2020</v>
      </c>
      <c r="E114" s="329">
        <v>2025</v>
      </c>
      <c r="F114" s="329">
        <v>2030</v>
      </c>
    </row>
    <row r="115" spans="1:16" ht="14.4" thickBot="1" x14ac:dyDescent="0.3">
      <c r="A115" s="941" t="s">
        <v>1220</v>
      </c>
      <c r="B115" s="942">
        <v>0</v>
      </c>
      <c r="C115" s="942">
        <v>-1.6400000000000001E-2</v>
      </c>
      <c r="D115" s="942">
        <v>-2.8400000000000002E-2</v>
      </c>
      <c r="E115" s="942">
        <v>-2.6499999999999999E-2</v>
      </c>
      <c r="F115" s="942">
        <v>-2.4799999999999999E-2</v>
      </c>
    </row>
    <row r="116" spans="1:16" ht="14.4" thickBot="1" x14ac:dyDescent="0.3">
      <c r="A116" s="941" t="s">
        <v>1219</v>
      </c>
      <c r="B116" s="942">
        <v>0</v>
      </c>
      <c r="C116" s="942">
        <v>0</v>
      </c>
      <c r="D116" s="942">
        <v>0</v>
      </c>
      <c r="E116" s="942">
        <v>0</v>
      </c>
      <c r="F116" s="942">
        <v>0</v>
      </c>
    </row>
    <row r="124" spans="1:16" ht="39.6" x14ac:dyDescent="0.25">
      <c r="A124" t="s">
        <v>233</v>
      </c>
      <c r="F124" s="18">
        <v>123459999.99999999</v>
      </c>
      <c r="G124" s="18">
        <v>123460000</v>
      </c>
      <c r="H124" s="18">
        <v>271611999.99999994</v>
      </c>
      <c r="I124" s="18">
        <v>271612000</v>
      </c>
      <c r="J124" s="18">
        <v>271612000</v>
      </c>
      <c r="K124" s="18">
        <v>271612000</v>
      </c>
      <c r="L124" s="652">
        <v>271612000</v>
      </c>
      <c r="M124" s="84"/>
      <c r="N124" s="84"/>
      <c r="O124" t="s">
        <v>7</v>
      </c>
      <c r="P124" t="s">
        <v>7</v>
      </c>
    </row>
    <row r="125" spans="1:16" x14ac:dyDescent="0.25">
      <c r="A125" t="s">
        <v>7</v>
      </c>
      <c r="D125" s="84">
        <v>0</v>
      </c>
      <c r="E125" s="84">
        <v>0</v>
      </c>
      <c r="F125" s="84">
        <v>123459999.99999999</v>
      </c>
      <c r="G125" s="84">
        <v>123459999.99999999</v>
      </c>
      <c r="H125" s="84">
        <v>271612000</v>
      </c>
      <c r="I125" s="84">
        <v>271612000</v>
      </c>
      <c r="J125" s="84">
        <v>271612000</v>
      </c>
      <c r="K125" s="84">
        <v>271612000</v>
      </c>
      <c r="L125" s="651">
        <v>271612000</v>
      </c>
      <c r="O125" t="s">
        <v>7</v>
      </c>
    </row>
    <row r="126" spans="1:16" ht="26.4" x14ac:dyDescent="0.25">
      <c r="A126" t="s">
        <v>7</v>
      </c>
      <c r="B126" t="s">
        <v>234</v>
      </c>
      <c r="C126" t="s">
        <v>235</v>
      </c>
      <c r="D126">
        <v>0</v>
      </c>
      <c r="E126">
        <v>0</v>
      </c>
      <c r="F126" s="84">
        <v>100000</v>
      </c>
      <c r="G126" s="84">
        <v>100000</v>
      </c>
      <c r="H126" s="84">
        <v>220000</v>
      </c>
      <c r="I126" s="84">
        <v>220000</v>
      </c>
      <c r="J126" s="84">
        <v>220000</v>
      </c>
      <c r="K126" s="84">
        <v>220000</v>
      </c>
      <c r="L126" s="651">
        <v>220000</v>
      </c>
    </row>
    <row r="127" spans="1:16" ht="26.4" x14ac:dyDescent="0.25">
      <c r="B127" t="s">
        <v>236</v>
      </c>
      <c r="C127" t="s">
        <v>235</v>
      </c>
      <c r="D127">
        <v>0</v>
      </c>
      <c r="E127">
        <v>0</v>
      </c>
      <c r="F127">
        <v>100000</v>
      </c>
      <c r="G127">
        <v>0</v>
      </c>
      <c r="H127">
        <v>120000</v>
      </c>
      <c r="I127">
        <v>0</v>
      </c>
      <c r="J127">
        <v>0</v>
      </c>
      <c r="K127">
        <v>0</v>
      </c>
      <c r="L127" s="649">
        <v>0</v>
      </c>
    </row>
    <row r="128" spans="1:16" x14ac:dyDescent="0.25">
      <c r="B128" t="s">
        <v>7</v>
      </c>
      <c r="C128" t="s">
        <v>7</v>
      </c>
      <c r="D128" t="s">
        <v>7</v>
      </c>
      <c r="E128" t="s">
        <v>7</v>
      </c>
      <c r="F128" t="s">
        <v>7</v>
      </c>
      <c r="G128" t="s">
        <v>7</v>
      </c>
      <c r="H128" t="s">
        <v>7</v>
      </c>
      <c r="I128" t="s">
        <v>7</v>
      </c>
      <c r="J128" t="s">
        <v>7</v>
      </c>
      <c r="K128" t="s">
        <v>7</v>
      </c>
      <c r="L128" s="649" t="s">
        <v>7</v>
      </c>
    </row>
    <row r="129" spans="1:26" ht="39.6" x14ac:dyDescent="0.25">
      <c r="D129" t="s">
        <v>237</v>
      </c>
      <c r="E129" t="s">
        <v>134</v>
      </c>
      <c r="F129" t="s">
        <v>135</v>
      </c>
      <c r="G129">
        <v>7.5</v>
      </c>
      <c r="H129" t="s">
        <v>27</v>
      </c>
      <c r="O129" t="s">
        <v>21</v>
      </c>
      <c r="Q129" s="84"/>
      <c r="R129">
        <v>1000</v>
      </c>
    </row>
    <row r="130" spans="1:26" x14ac:dyDescent="0.25">
      <c r="D130">
        <v>1234.5999999999999</v>
      </c>
      <c r="E130">
        <v>3.6</v>
      </c>
      <c r="F130">
        <v>2.3883999999999999E-2</v>
      </c>
      <c r="G130">
        <v>2.7E-2</v>
      </c>
      <c r="H130" t="s">
        <v>238</v>
      </c>
      <c r="O130">
        <v>27</v>
      </c>
      <c r="P130" t="s">
        <v>23</v>
      </c>
      <c r="Q130" t="s">
        <v>239</v>
      </c>
      <c r="R130">
        <v>2.7E-2</v>
      </c>
    </row>
    <row r="131" spans="1:26" ht="17.399999999999999" x14ac:dyDescent="0.3">
      <c r="B131" t="s">
        <v>240</v>
      </c>
      <c r="C131" t="s">
        <v>143</v>
      </c>
      <c r="D131" s="286">
        <v>2012</v>
      </c>
      <c r="E131" s="286">
        <v>2015</v>
      </c>
      <c r="F131" s="286">
        <v>2020</v>
      </c>
      <c r="G131" s="286">
        <v>2025</v>
      </c>
      <c r="H131" s="286">
        <v>2030</v>
      </c>
      <c r="I131" s="286">
        <v>2035</v>
      </c>
      <c r="J131" s="286">
        <v>2040</v>
      </c>
      <c r="K131" s="286">
        <v>2045</v>
      </c>
      <c r="L131" s="951">
        <v>2050</v>
      </c>
      <c r="O131" s="59">
        <v>41401</v>
      </c>
      <c r="P131" t="s">
        <v>27</v>
      </c>
    </row>
    <row r="132" spans="1:26" x14ac:dyDescent="0.25">
      <c r="B132" t="s">
        <v>241</v>
      </c>
      <c r="C132" t="s">
        <v>147</v>
      </c>
      <c r="D132" s="84">
        <v>0</v>
      </c>
      <c r="E132" s="84">
        <v>0</v>
      </c>
      <c r="F132" s="84">
        <v>750</v>
      </c>
      <c r="G132" s="84">
        <v>750</v>
      </c>
      <c r="H132" s="84">
        <v>1650</v>
      </c>
      <c r="I132" s="84">
        <v>1650</v>
      </c>
      <c r="J132" s="84">
        <v>1650</v>
      </c>
      <c r="K132" s="84">
        <v>1650</v>
      </c>
      <c r="L132" s="651">
        <v>1650</v>
      </c>
      <c r="M132" s="18"/>
      <c r="N132" s="18"/>
      <c r="O132" s="18">
        <v>6</v>
      </c>
      <c r="P132" t="s">
        <v>30</v>
      </c>
      <c r="U132">
        <v>2000</v>
      </c>
      <c r="V132">
        <v>2630</v>
      </c>
      <c r="W132">
        <v>3000</v>
      </c>
      <c r="X132">
        <v>3240</v>
      </c>
      <c r="Y132">
        <v>3500</v>
      </c>
      <c r="Z132">
        <v>3708</v>
      </c>
    </row>
    <row r="133" spans="1:26" x14ac:dyDescent="0.25">
      <c r="B133" t="s">
        <v>241</v>
      </c>
      <c r="C133" t="s">
        <v>65</v>
      </c>
      <c r="D133" s="84">
        <v>0</v>
      </c>
      <c r="E133" s="84">
        <v>0</v>
      </c>
      <c r="F133" s="84">
        <v>2700</v>
      </c>
      <c r="G133" s="84">
        <v>2700</v>
      </c>
      <c r="H133" s="84">
        <v>5940</v>
      </c>
      <c r="I133" s="84">
        <v>5940</v>
      </c>
      <c r="J133" s="84">
        <v>5940</v>
      </c>
      <c r="K133" s="84">
        <v>5940</v>
      </c>
      <c r="L133" s="651">
        <v>5940</v>
      </c>
      <c r="M133" s="18"/>
      <c r="N133" s="18"/>
      <c r="U133">
        <v>2000</v>
      </c>
      <c r="V133">
        <v>2630</v>
      </c>
      <c r="W133">
        <v>3000</v>
      </c>
      <c r="X133">
        <v>3240</v>
      </c>
      <c r="Y133">
        <v>3500</v>
      </c>
      <c r="Z133">
        <v>3708</v>
      </c>
    </row>
    <row r="134" spans="1:26" x14ac:dyDescent="0.25">
      <c r="E134" s="84"/>
      <c r="F134" s="84"/>
      <c r="G134" s="84"/>
      <c r="H134" s="84"/>
      <c r="I134" s="84"/>
      <c r="J134" s="84"/>
      <c r="K134" s="84"/>
      <c r="L134" s="651"/>
      <c r="M134" s="84"/>
      <c r="N134" s="84"/>
    </row>
    <row r="135" spans="1:26" x14ac:dyDescent="0.25">
      <c r="E135" s="84"/>
      <c r="F135" s="84"/>
      <c r="G135" s="84"/>
      <c r="H135" s="84"/>
      <c r="I135" s="84"/>
      <c r="J135" s="84"/>
      <c r="K135" s="84"/>
      <c r="L135" s="651"/>
      <c r="M135" s="84"/>
      <c r="N135" s="84"/>
    </row>
    <row r="136" spans="1:26" x14ac:dyDescent="0.25">
      <c r="B136" t="s">
        <v>241</v>
      </c>
      <c r="C136" t="s">
        <v>16</v>
      </c>
      <c r="D136" s="16">
        <v>0</v>
      </c>
      <c r="E136" s="84">
        <v>0</v>
      </c>
      <c r="F136" s="84">
        <v>64.486800000000002</v>
      </c>
      <c r="G136" s="84">
        <v>64.486800000000002</v>
      </c>
      <c r="H136" s="84">
        <v>141.87096</v>
      </c>
      <c r="I136" s="84">
        <v>141.87096</v>
      </c>
      <c r="J136" s="84">
        <v>141.87096</v>
      </c>
      <c r="K136" s="84">
        <v>141.87096</v>
      </c>
      <c r="L136" s="651">
        <v>141.87096</v>
      </c>
      <c r="M136" s="84"/>
      <c r="N136" s="84"/>
      <c r="P136" s="16"/>
    </row>
    <row r="137" spans="1:26" x14ac:dyDescent="0.25">
      <c r="D137" s="18"/>
      <c r="E137" s="18"/>
      <c r="F137" s="18">
        <v>92</v>
      </c>
      <c r="G137" s="18"/>
      <c r="H137" s="18"/>
      <c r="I137" s="18"/>
      <c r="J137" s="18"/>
      <c r="K137" s="18"/>
      <c r="L137" s="652"/>
      <c r="M137" s="18"/>
      <c r="N137" s="18"/>
    </row>
    <row r="138" spans="1:26" ht="26.4" x14ac:dyDescent="0.25">
      <c r="B138" t="s">
        <v>242</v>
      </c>
      <c r="C138" t="s">
        <v>495</v>
      </c>
      <c r="D138" s="18"/>
      <c r="E138" s="18"/>
      <c r="F138" s="18">
        <v>50107062.32150206</v>
      </c>
      <c r="G138" s="18">
        <v>60777346.596939564</v>
      </c>
      <c r="H138" s="18">
        <v>71447630.872377038</v>
      </c>
      <c r="I138" s="18">
        <v>58643052.475482799</v>
      </c>
      <c r="J138" s="18">
        <v>45838474.07858853</v>
      </c>
      <c r="K138" s="18">
        <v>39436184.880141407</v>
      </c>
      <c r="L138" s="652">
        <v>20229317.284800015</v>
      </c>
      <c r="M138" s="18"/>
      <c r="N138" s="18"/>
    </row>
    <row r="139" spans="1:26" x14ac:dyDescent="0.25">
      <c r="B139" t="s">
        <v>150</v>
      </c>
      <c r="C139" t="s">
        <v>65</v>
      </c>
      <c r="D139" s="323">
        <v>0</v>
      </c>
      <c r="E139" s="323">
        <v>547.90648091712126</v>
      </c>
      <c r="F139" s="323">
        <v>1095.8129618342425</v>
      </c>
      <c r="G139" s="323">
        <v>1329.1660117587626</v>
      </c>
      <c r="H139" s="323">
        <v>1562.5190616832824</v>
      </c>
      <c r="I139" s="323">
        <v>1282.4902128932736</v>
      </c>
      <c r="J139" s="323">
        <v>1002.4613641032646</v>
      </c>
      <c r="K139" s="323">
        <v>862.44693970826017</v>
      </c>
      <c r="L139" s="654">
        <v>442.40366652324684</v>
      </c>
    </row>
    <row r="140" spans="1:26" x14ac:dyDescent="0.25">
      <c r="C140" t="s">
        <v>16</v>
      </c>
      <c r="D140">
        <v>0</v>
      </c>
      <c r="E140">
        <v>13</v>
      </c>
      <c r="F140">
        <v>26</v>
      </c>
      <c r="G140">
        <v>32</v>
      </c>
      <c r="H140">
        <v>37</v>
      </c>
      <c r="I140">
        <v>30</v>
      </c>
      <c r="J140">
        <v>23</v>
      </c>
      <c r="K140">
        <v>19</v>
      </c>
      <c r="L140" s="649">
        <v>8</v>
      </c>
    </row>
    <row r="141" spans="1:26" x14ac:dyDescent="0.25">
      <c r="D141" s="18"/>
      <c r="E141" s="18"/>
      <c r="F141" s="18" t="s">
        <v>7</v>
      </c>
      <c r="G141" s="18"/>
      <c r="H141" s="18"/>
      <c r="I141" s="18"/>
      <c r="J141" s="18"/>
      <c r="K141" s="18"/>
      <c r="L141" s="652"/>
      <c r="M141" s="18"/>
      <c r="N141" s="18"/>
    </row>
    <row r="142" spans="1:26" ht="26.4" x14ac:dyDescent="0.25">
      <c r="B142" t="s">
        <v>151</v>
      </c>
      <c r="C142" t="s">
        <v>65</v>
      </c>
      <c r="D142" s="84">
        <v>29886</v>
      </c>
      <c r="E142" s="84">
        <v>30550</v>
      </c>
      <c r="F142" s="84">
        <v>31214</v>
      </c>
      <c r="G142" s="84">
        <v>29871</v>
      </c>
      <c r="H142" s="84">
        <v>28528</v>
      </c>
      <c r="I142" s="84">
        <v>25275</v>
      </c>
      <c r="J142" s="84">
        <v>22021</v>
      </c>
      <c r="K142" s="84">
        <v>20395</v>
      </c>
      <c r="L142" s="651">
        <v>15515</v>
      </c>
      <c r="M142" s="84"/>
      <c r="N142" s="84"/>
    </row>
    <row r="143" spans="1:26" x14ac:dyDescent="0.25">
      <c r="C143" t="s">
        <v>16</v>
      </c>
      <c r="D143">
        <v>714</v>
      </c>
      <c r="E143">
        <v>730</v>
      </c>
      <c r="F143">
        <v>746</v>
      </c>
      <c r="G143">
        <v>713</v>
      </c>
      <c r="H143">
        <v>681</v>
      </c>
      <c r="I143">
        <v>604</v>
      </c>
      <c r="J143">
        <v>526</v>
      </c>
      <c r="K143">
        <v>487</v>
      </c>
      <c r="L143" s="649">
        <v>371</v>
      </c>
    </row>
    <row r="144" spans="1:26" ht="39.6" x14ac:dyDescent="0.25">
      <c r="A144">
        <v>0.80997894054754582</v>
      </c>
      <c r="B144" t="s">
        <v>243</v>
      </c>
      <c r="C144" t="s">
        <v>154</v>
      </c>
      <c r="D144" s="646">
        <v>0</v>
      </c>
      <c r="E144" s="646">
        <v>1.7934745692868126E-2</v>
      </c>
      <c r="F144" s="646">
        <v>3.5106457417640881E-2</v>
      </c>
      <c r="G144" s="646">
        <v>4.449687026744209E-2</v>
      </c>
      <c r="H144" s="646">
        <v>5.4771419716884547E-2</v>
      </c>
      <c r="I144" s="646">
        <v>5.0741452537814979E-2</v>
      </c>
      <c r="J144" s="646">
        <v>4.5522971895157562E-2</v>
      </c>
      <c r="K144" s="646">
        <v>4.2287175273756319E-2</v>
      </c>
      <c r="L144" s="653">
        <v>2.8514577281549908E-2</v>
      </c>
      <c r="M144" s="67"/>
      <c r="N144" s="67"/>
    </row>
    <row r="145" spans="1:14" x14ac:dyDescent="0.25">
      <c r="B145" t="s">
        <v>244</v>
      </c>
      <c r="C145" t="s">
        <v>65</v>
      </c>
      <c r="D145" s="84">
        <v>0</v>
      </c>
      <c r="E145" s="84">
        <v>547.90648091712126</v>
      </c>
      <c r="F145" s="646"/>
      <c r="G145" s="646"/>
      <c r="H145" s="646"/>
      <c r="I145" s="646"/>
      <c r="J145" s="646"/>
      <c r="K145" s="646"/>
      <c r="L145" s="653"/>
      <c r="M145" s="67"/>
      <c r="N145" s="67"/>
    </row>
    <row r="146" spans="1:14" x14ac:dyDescent="0.25">
      <c r="A146">
        <v>0.77777777777777768</v>
      </c>
      <c r="B146" t="s">
        <v>245</v>
      </c>
      <c r="C146" t="s">
        <v>495</v>
      </c>
      <c r="F146" s="84">
        <v>73352937.678497925</v>
      </c>
      <c r="G146" s="84">
        <v>62682653.403060429</v>
      </c>
      <c r="H146" s="84">
        <v>200164369.1276229</v>
      </c>
      <c r="I146" s="84">
        <v>212968947.52451721</v>
      </c>
      <c r="J146" s="84">
        <v>225773525.92141145</v>
      </c>
      <c r="K146" s="84">
        <v>232175815.11985856</v>
      </c>
      <c r="L146" s="651">
        <v>251382682.71519998</v>
      </c>
      <c r="M146" s="18"/>
      <c r="N146" s="18"/>
    </row>
    <row r="147" spans="1:14" x14ac:dyDescent="0.25">
      <c r="A147">
        <v>2.8</v>
      </c>
      <c r="B147" t="s">
        <v>245</v>
      </c>
      <c r="C147" t="s">
        <v>65</v>
      </c>
      <c r="D147" s="84">
        <v>0</v>
      </c>
      <c r="E147" s="84">
        <v>0</v>
      </c>
      <c r="F147" s="84">
        <v>1604.1870381657575</v>
      </c>
      <c r="G147" s="84">
        <v>1370.8339882412374</v>
      </c>
      <c r="H147" s="84">
        <v>4377.4809383167176</v>
      </c>
      <c r="I147" s="84">
        <v>4657.5097871067264</v>
      </c>
      <c r="J147" s="84">
        <v>4937.5386358967353</v>
      </c>
      <c r="K147" s="84">
        <v>5077.5530602917397</v>
      </c>
      <c r="L147" s="651">
        <v>5497.596333476753</v>
      </c>
      <c r="M147" s="18"/>
      <c r="N147" s="18"/>
    </row>
    <row r="148" spans="1:14" x14ac:dyDescent="0.25">
      <c r="C148" t="s">
        <v>16</v>
      </c>
      <c r="D148" s="18">
        <v>0</v>
      </c>
      <c r="E148" s="18">
        <v>0</v>
      </c>
      <c r="F148" s="18">
        <v>38.314403219550947</v>
      </c>
      <c r="G148" s="18">
        <v>32.740998975153715</v>
      </c>
      <c r="H148" s="18">
        <v>104.55175473075649</v>
      </c>
      <c r="I148" s="18">
        <v>111.23996375525705</v>
      </c>
      <c r="J148" s="18">
        <v>117.92817277975762</v>
      </c>
      <c r="K148" s="18">
        <v>121.2722772920079</v>
      </c>
      <c r="L148" s="652">
        <v>131.30459082875876</v>
      </c>
      <c r="M148" s="18"/>
      <c r="N148" s="18"/>
    </row>
    <row r="149" spans="1:14" ht="26.4" x14ac:dyDescent="0.25">
      <c r="A149" s="303">
        <v>1</v>
      </c>
      <c r="B149" t="s">
        <v>246</v>
      </c>
      <c r="C149" t="s">
        <v>154</v>
      </c>
      <c r="D149" s="646">
        <v>0</v>
      </c>
      <c r="E149" s="646">
        <v>0</v>
      </c>
      <c r="F149" s="646">
        <v>0.59414334746879904</v>
      </c>
      <c r="G149" s="646">
        <v>0.50771629194119905</v>
      </c>
      <c r="H149" s="646">
        <v>0.73694965291527237</v>
      </c>
      <c r="I149" s="646">
        <v>0.7840925567519742</v>
      </c>
      <c r="J149" s="646">
        <v>0.83123546058867592</v>
      </c>
      <c r="K149" s="646">
        <v>0.85480691250702689</v>
      </c>
      <c r="L149" s="653">
        <v>0.92552126826207959</v>
      </c>
      <c r="M149" s="67"/>
      <c r="N149" s="67"/>
    </row>
    <row r="150" spans="1:14" x14ac:dyDescent="0.25">
      <c r="A150">
        <v>0.626</v>
      </c>
      <c r="B150" t="s">
        <v>619</v>
      </c>
      <c r="D150" s="303">
        <v>0.626</v>
      </c>
      <c r="E150" s="67"/>
      <c r="F150" s="67"/>
      <c r="G150" s="67"/>
      <c r="H150" s="67"/>
      <c r="I150" s="67"/>
      <c r="J150" s="67"/>
      <c r="K150" s="67"/>
      <c r="L150" s="655"/>
      <c r="M150" s="67"/>
      <c r="N150" s="67"/>
    </row>
    <row r="151" spans="1:14" x14ac:dyDescent="0.25">
      <c r="A151">
        <v>0.78249999999999997</v>
      </c>
      <c r="B151" t="s">
        <v>247</v>
      </c>
      <c r="D151" s="78">
        <v>0.58687499999999992</v>
      </c>
      <c r="E151" s="18"/>
      <c r="F151" s="18"/>
      <c r="G151" s="18"/>
      <c r="H151" s="18"/>
      <c r="I151" s="18"/>
      <c r="J151" s="18"/>
      <c r="K151" s="18"/>
      <c r="L151" s="652"/>
      <c r="M151" s="18"/>
      <c r="N151" s="18"/>
    </row>
    <row r="152" spans="1:14" ht="39.6" x14ac:dyDescent="0.25">
      <c r="A152">
        <v>21.127499999999998</v>
      </c>
      <c r="B152" t="s">
        <v>248</v>
      </c>
      <c r="C152" t="s">
        <v>158</v>
      </c>
      <c r="D152" s="18">
        <v>21.127499999999998</v>
      </c>
      <c r="E152" s="18">
        <v>21.515160550458713</v>
      </c>
      <c r="F152" s="18">
        <v>21.902821100917432</v>
      </c>
      <c r="G152" s="18">
        <v>22.4843119266055</v>
      </c>
      <c r="H152" s="18">
        <v>23.45346330275229</v>
      </c>
      <c r="I152" s="18">
        <v>24.810275229357799</v>
      </c>
      <c r="J152" s="18">
        <v>26.249271192660554</v>
      </c>
      <c r="K152" s="18">
        <v>27.771728921834868</v>
      </c>
      <c r="L152" s="652">
        <v>29.38248919930129</v>
      </c>
      <c r="M152" t="s">
        <v>638</v>
      </c>
      <c r="N152" s="18"/>
    </row>
    <row r="153" spans="1:14" ht="26.4" x14ac:dyDescent="0.25">
      <c r="A153" s="303">
        <v>1</v>
      </c>
      <c r="B153" t="s">
        <v>246</v>
      </c>
      <c r="C153" t="s">
        <v>154</v>
      </c>
      <c r="D153" s="646">
        <v>0</v>
      </c>
      <c r="E153" s="646">
        <v>0</v>
      </c>
      <c r="F153" s="646">
        <v>0.59414334746879904</v>
      </c>
      <c r="G153" s="646">
        <v>0.50771629194119905</v>
      </c>
      <c r="H153" s="646">
        <v>0.73694965291527237</v>
      </c>
      <c r="I153" s="646">
        <v>0.7840925567519742</v>
      </c>
      <c r="J153" s="646">
        <v>0.83123546058867592</v>
      </c>
      <c r="K153" s="646">
        <v>0.85480691250702689</v>
      </c>
      <c r="L153" s="653">
        <v>0.92552126826207959</v>
      </c>
      <c r="M153" s="67"/>
      <c r="N153" s="67"/>
    </row>
    <row r="154" spans="1:14" x14ac:dyDescent="0.25">
      <c r="A154">
        <v>0.626</v>
      </c>
      <c r="B154" t="s">
        <v>619</v>
      </c>
      <c r="D154" s="303">
        <v>0.626</v>
      </c>
      <c r="E154" s="67"/>
      <c r="F154" s="67"/>
      <c r="G154" s="67"/>
      <c r="H154" s="67"/>
      <c r="I154" s="67"/>
      <c r="J154" s="67"/>
      <c r="K154" s="67"/>
      <c r="L154" s="655"/>
      <c r="M154" s="67"/>
      <c r="N154" s="67"/>
    </row>
    <row r="155" spans="1:14" x14ac:dyDescent="0.25">
      <c r="A155">
        <v>0.78249999999999997</v>
      </c>
      <c r="B155" t="s">
        <v>247</v>
      </c>
      <c r="D155" s="78">
        <v>0.58687499999999992</v>
      </c>
      <c r="E155" s="18"/>
      <c r="F155" s="18"/>
      <c r="G155" s="18"/>
      <c r="H155" s="18"/>
      <c r="I155" s="18"/>
      <c r="J155" s="18"/>
      <c r="K155" s="18"/>
      <c r="L155" s="652"/>
      <c r="M155" s="18"/>
      <c r="N155" s="18"/>
    </row>
    <row r="156" spans="1:14" ht="39.6" x14ac:dyDescent="0.25">
      <c r="A156">
        <v>21.127499999999998</v>
      </c>
      <c r="B156" t="s">
        <v>248</v>
      </c>
      <c r="C156" t="s">
        <v>158</v>
      </c>
      <c r="D156" s="18">
        <v>21.127499999999998</v>
      </c>
      <c r="E156" s="18">
        <v>21.515160550458713</v>
      </c>
      <c r="F156" s="18">
        <v>21.902821100917432</v>
      </c>
      <c r="G156" s="18">
        <v>22.4843119266055</v>
      </c>
      <c r="H156" s="18">
        <v>23.45346330275229</v>
      </c>
      <c r="I156" s="18">
        <v>24.810275229357799</v>
      </c>
      <c r="J156" s="18">
        <v>26.249271192660554</v>
      </c>
      <c r="K156" s="18">
        <v>27.771728921834868</v>
      </c>
      <c r="L156" s="652">
        <v>29.38248919930129</v>
      </c>
      <c r="M156" t="s">
        <v>638</v>
      </c>
      <c r="N156" s="18"/>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topLeftCell="H1" zoomScale="125" zoomScaleNormal="125" zoomScalePageLayoutView="125" workbookViewId="0">
      <selection activeCell="I23" sqref="I23"/>
    </sheetView>
  </sheetViews>
  <sheetFormatPr defaultColWidth="11.5546875" defaultRowHeight="13.2" x14ac:dyDescent="0.25"/>
  <cols>
    <col min="1" max="1" width="20.6640625" style="805" customWidth="1"/>
    <col min="2" max="2" width="8.6640625" style="805" customWidth="1"/>
    <col min="3" max="3" width="8" style="805" customWidth="1"/>
    <col min="4" max="5" width="7.44140625" style="805" customWidth="1"/>
    <col min="6" max="6" width="7.33203125" style="805" customWidth="1"/>
    <col min="7" max="7" width="7.44140625" style="805" customWidth="1"/>
    <col min="8" max="8" width="7" customWidth="1"/>
    <col min="9" max="10" width="7.33203125" customWidth="1"/>
    <col min="11" max="11" width="7.109375" customWidth="1"/>
  </cols>
  <sheetData>
    <row r="1" spans="1:13" x14ac:dyDescent="0.25">
      <c r="A1" s="810" t="s">
        <v>1178</v>
      </c>
      <c r="B1" s="690" t="s">
        <v>143</v>
      </c>
      <c r="C1" s="811">
        <v>2010</v>
      </c>
      <c r="D1" s="811">
        <v>2015</v>
      </c>
      <c r="E1" s="811">
        <v>2020</v>
      </c>
      <c r="F1" s="811">
        <v>2025</v>
      </c>
      <c r="G1" s="811">
        <v>2030</v>
      </c>
      <c r="H1" s="665">
        <v>2035</v>
      </c>
      <c r="I1" s="665">
        <v>2040</v>
      </c>
      <c r="J1" s="665">
        <v>2045</v>
      </c>
      <c r="K1" s="666">
        <v>2050</v>
      </c>
    </row>
    <row r="2" spans="1:13" s="606" customFormat="1" x14ac:dyDescent="0.25">
      <c r="A2" s="816" t="s">
        <v>1177</v>
      </c>
      <c r="B2" s="615" t="s">
        <v>78</v>
      </c>
      <c r="C2" s="615">
        <v>1</v>
      </c>
      <c r="D2" s="615">
        <v>30</v>
      </c>
      <c r="E2" s="615">
        <v>155</v>
      </c>
      <c r="F2" s="615">
        <v>200</v>
      </c>
      <c r="G2" s="615">
        <v>263</v>
      </c>
      <c r="H2" s="615">
        <v>300</v>
      </c>
      <c r="I2" s="615">
        <v>324</v>
      </c>
      <c r="J2" s="615">
        <v>350</v>
      </c>
      <c r="K2" s="817">
        <v>370.8</v>
      </c>
    </row>
    <row r="3" spans="1:13" x14ac:dyDescent="0.25">
      <c r="A3" s="689" t="s">
        <v>1177</v>
      </c>
      <c r="B3" s="690" t="s">
        <v>147</v>
      </c>
      <c r="C3" s="812">
        <v>10</v>
      </c>
      <c r="D3" s="812">
        <v>300</v>
      </c>
      <c r="E3" s="812">
        <v>1550</v>
      </c>
      <c r="F3" s="812">
        <v>2000</v>
      </c>
      <c r="G3" s="812">
        <v>2630</v>
      </c>
      <c r="H3" s="669">
        <v>3000</v>
      </c>
      <c r="I3" s="669">
        <v>3240</v>
      </c>
      <c r="J3" s="669">
        <v>3500</v>
      </c>
      <c r="K3" s="670">
        <v>3708</v>
      </c>
    </row>
    <row r="4" spans="1:13" s="606" customFormat="1" x14ac:dyDescent="0.25">
      <c r="A4" s="816" t="s">
        <v>1177</v>
      </c>
      <c r="B4" s="615" t="s">
        <v>65</v>
      </c>
      <c r="C4" s="638">
        <v>36</v>
      </c>
      <c r="D4" s="638">
        <v>1080</v>
      </c>
      <c r="E4" s="638">
        <v>5580</v>
      </c>
      <c r="F4" s="638">
        <v>7200</v>
      </c>
      <c r="G4" s="638">
        <v>9468</v>
      </c>
      <c r="H4" s="638">
        <v>10800</v>
      </c>
      <c r="I4" s="638">
        <v>11664</v>
      </c>
      <c r="J4" s="638">
        <v>12600</v>
      </c>
      <c r="K4" s="818">
        <v>13348.800000000001</v>
      </c>
    </row>
    <row r="5" spans="1:13" x14ac:dyDescent="0.25">
      <c r="A5" s="689" t="s">
        <v>1177</v>
      </c>
      <c r="B5" s="690" t="s">
        <v>16</v>
      </c>
      <c r="C5" s="813">
        <v>0.85982399999999992</v>
      </c>
      <c r="D5" s="812">
        <v>25.794719999999998</v>
      </c>
      <c r="E5" s="812">
        <v>133.27271999999999</v>
      </c>
      <c r="F5" s="812">
        <v>171.9648</v>
      </c>
      <c r="G5" s="812">
        <v>226.133712</v>
      </c>
      <c r="H5" s="669">
        <v>257.94720000000001</v>
      </c>
      <c r="I5" s="669">
        <v>278.58297599999997</v>
      </c>
      <c r="J5" s="669">
        <v>300.9384</v>
      </c>
      <c r="K5" s="670">
        <v>318.8227392</v>
      </c>
    </row>
    <row r="6" spans="1:13" s="606" customFormat="1" ht="26.4" x14ac:dyDescent="0.25">
      <c r="A6" s="816" t="s">
        <v>1176</v>
      </c>
      <c r="B6" s="615" t="s">
        <v>154</v>
      </c>
      <c r="C6" s="819">
        <v>1</v>
      </c>
      <c r="D6" s="819">
        <v>0.89814814814814814</v>
      </c>
      <c r="E6" s="819">
        <v>0.34767025089605735</v>
      </c>
      <c r="F6" s="819">
        <v>0.54083333333333328</v>
      </c>
      <c r="G6" s="819">
        <v>0.6176594845796366</v>
      </c>
      <c r="H6" s="819">
        <v>0.52314814814814814</v>
      </c>
      <c r="I6" s="819">
        <v>0.46733539094650201</v>
      </c>
      <c r="J6" s="819">
        <v>0.42476190476190484</v>
      </c>
      <c r="K6" s="820">
        <v>0.37868572455951094</v>
      </c>
    </row>
    <row r="7" spans="1:13" ht="16.95" customHeight="1" x14ac:dyDescent="0.25">
      <c r="A7" s="689" t="s">
        <v>1179</v>
      </c>
      <c r="B7" s="690" t="s">
        <v>78</v>
      </c>
      <c r="C7" s="812">
        <v>1</v>
      </c>
      <c r="D7" s="812">
        <v>26.944444444444443</v>
      </c>
      <c r="E7" s="812">
        <v>53.888888888888886</v>
      </c>
      <c r="F7" s="812">
        <v>108.16666666666666</v>
      </c>
      <c r="G7" s="812">
        <v>162.44444444444443</v>
      </c>
      <c r="H7" s="669">
        <v>156.94444444444443</v>
      </c>
      <c r="I7" s="669">
        <v>151.41666666666666</v>
      </c>
      <c r="J7" s="669">
        <v>148.66666666666669</v>
      </c>
      <c r="K7" s="670">
        <v>140.41666666666666</v>
      </c>
    </row>
    <row r="8" spans="1:13" s="606" customFormat="1" x14ac:dyDescent="0.25">
      <c r="A8" s="816" t="s">
        <v>1179</v>
      </c>
      <c r="B8" s="615" t="s">
        <v>65</v>
      </c>
      <c r="C8" s="637">
        <v>0</v>
      </c>
      <c r="D8" s="637">
        <v>970</v>
      </c>
      <c r="E8" s="637">
        <v>1940</v>
      </c>
      <c r="F8" s="637">
        <v>3894</v>
      </c>
      <c r="G8" s="637">
        <v>5848</v>
      </c>
      <c r="H8" s="637">
        <v>5650</v>
      </c>
      <c r="I8" s="637">
        <v>5451</v>
      </c>
      <c r="J8" s="637">
        <v>5352</v>
      </c>
      <c r="K8" s="821">
        <v>5055</v>
      </c>
    </row>
    <row r="9" spans="1:13" x14ac:dyDescent="0.25">
      <c r="A9" s="689" t="s">
        <v>1179</v>
      </c>
      <c r="B9" s="690" t="s">
        <v>16</v>
      </c>
      <c r="C9" s="691">
        <v>0</v>
      </c>
      <c r="D9" s="691">
        <v>23.2</v>
      </c>
      <c r="E9" s="691">
        <v>46.3</v>
      </c>
      <c r="F9" s="691">
        <v>93</v>
      </c>
      <c r="G9" s="691">
        <v>139.69999999999999</v>
      </c>
      <c r="H9" s="676">
        <v>134.9</v>
      </c>
      <c r="I9" s="676">
        <v>130.19999999999999</v>
      </c>
      <c r="J9" s="676">
        <v>127.8</v>
      </c>
      <c r="K9" s="677">
        <v>120.7</v>
      </c>
    </row>
    <row r="10" spans="1:13" s="606" customFormat="1" ht="26.4" x14ac:dyDescent="0.25">
      <c r="A10" s="816" t="s">
        <v>151</v>
      </c>
      <c r="B10" s="615" t="s">
        <v>65</v>
      </c>
      <c r="C10" s="638">
        <v>29886</v>
      </c>
      <c r="D10" s="638">
        <v>30550</v>
      </c>
      <c r="E10" s="638">
        <v>31214</v>
      </c>
      <c r="F10" s="638">
        <v>29871</v>
      </c>
      <c r="G10" s="638">
        <v>28528</v>
      </c>
      <c r="H10" s="638">
        <v>25275</v>
      </c>
      <c r="I10" s="638">
        <v>22021</v>
      </c>
      <c r="J10" s="638">
        <v>20395</v>
      </c>
      <c r="K10" s="818">
        <v>15515</v>
      </c>
    </row>
    <row r="11" spans="1:13" ht="26.4" x14ac:dyDescent="0.25">
      <c r="A11" s="689" t="s">
        <v>151</v>
      </c>
      <c r="B11" s="690" t="s">
        <v>16</v>
      </c>
      <c r="C11" s="690">
        <v>714</v>
      </c>
      <c r="D11" s="690">
        <v>730</v>
      </c>
      <c r="E11" s="690">
        <v>746</v>
      </c>
      <c r="F11" s="690">
        <v>713</v>
      </c>
      <c r="G11" s="690">
        <v>681</v>
      </c>
      <c r="H11" s="664">
        <v>604</v>
      </c>
      <c r="I11" s="664">
        <v>526</v>
      </c>
      <c r="J11" s="664">
        <v>487</v>
      </c>
      <c r="K11" s="672">
        <v>371</v>
      </c>
    </row>
    <row r="12" spans="1:13" s="826" customFormat="1" ht="26.4" x14ac:dyDescent="0.25">
      <c r="A12" s="822" t="s">
        <v>1189</v>
      </c>
      <c r="B12" s="823" t="s">
        <v>154</v>
      </c>
      <c r="C12" s="824">
        <v>0</v>
      </c>
      <c r="D12" s="824">
        <v>3.1751227495908349E-2</v>
      </c>
      <c r="E12" s="824">
        <v>6.2151598641635164E-2</v>
      </c>
      <c r="F12" s="824">
        <v>0.13036055036657629</v>
      </c>
      <c r="G12" s="824">
        <v>0.20499158721256311</v>
      </c>
      <c r="H12" s="824">
        <v>0.22354104846686448</v>
      </c>
      <c r="I12" s="824">
        <v>0.24753644248671722</v>
      </c>
      <c r="J12" s="824">
        <v>0.26241725913214026</v>
      </c>
      <c r="K12" s="825">
        <v>0.32581372864969382</v>
      </c>
    </row>
    <row r="13" spans="1:13" x14ac:dyDescent="0.25">
      <c r="A13" s="689" t="s">
        <v>1180</v>
      </c>
      <c r="B13" s="690" t="s">
        <v>78</v>
      </c>
      <c r="C13" s="812">
        <v>0</v>
      </c>
      <c r="D13" s="812">
        <v>3.0555555555555571</v>
      </c>
      <c r="E13" s="812">
        <v>101.11111111111111</v>
      </c>
      <c r="F13" s="812">
        <v>91.833333333333343</v>
      </c>
      <c r="G13" s="812">
        <v>100.55555555555557</v>
      </c>
      <c r="H13" s="669">
        <v>143.05555555555557</v>
      </c>
      <c r="I13" s="669">
        <v>172.58333333333334</v>
      </c>
      <c r="J13" s="669">
        <v>201.33333333333331</v>
      </c>
      <c r="K13" s="670">
        <v>230.38333333333335</v>
      </c>
      <c r="M13" t="s">
        <v>800</v>
      </c>
    </row>
    <row r="14" spans="1:13" s="606" customFormat="1" x14ac:dyDescent="0.25">
      <c r="A14" s="816" t="s">
        <v>1180</v>
      </c>
      <c r="B14" s="615" t="s">
        <v>65</v>
      </c>
      <c r="C14" s="637">
        <v>36</v>
      </c>
      <c r="D14" s="637">
        <v>110</v>
      </c>
      <c r="E14" s="637">
        <v>3640</v>
      </c>
      <c r="F14" s="637">
        <v>3306</v>
      </c>
      <c r="G14" s="637">
        <v>3620</v>
      </c>
      <c r="H14" s="637">
        <v>5150</v>
      </c>
      <c r="I14" s="637">
        <v>6213</v>
      </c>
      <c r="J14" s="637">
        <v>7248</v>
      </c>
      <c r="K14" s="821">
        <v>8293.8000000000011</v>
      </c>
    </row>
    <row r="15" spans="1:13" x14ac:dyDescent="0.25">
      <c r="A15" s="689" t="s">
        <v>1180</v>
      </c>
      <c r="B15" s="690" t="s">
        <v>16</v>
      </c>
      <c r="C15" s="691">
        <v>0.85982399999999992</v>
      </c>
      <c r="D15" s="691">
        <v>2.62724</v>
      </c>
      <c r="E15" s="691">
        <v>86.937759999999997</v>
      </c>
      <c r="F15" s="691">
        <v>78.960504</v>
      </c>
      <c r="G15" s="691">
        <v>86.460079999999991</v>
      </c>
      <c r="H15" s="676">
        <v>123.0026</v>
      </c>
      <c r="I15" s="676">
        <v>148.39129199999999</v>
      </c>
      <c r="J15" s="676">
        <v>173.111232</v>
      </c>
      <c r="K15" s="677">
        <v>198.08911920000003</v>
      </c>
    </row>
    <row r="16" spans="1:13" s="606" customFormat="1" x14ac:dyDescent="0.25">
      <c r="A16" s="816" t="s">
        <v>1190</v>
      </c>
      <c r="B16" s="615" t="s">
        <v>154</v>
      </c>
      <c r="C16" s="819">
        <v>0</v>
      </c>
      <c r="D16" s="819">
        <v>0.10185185185185185</v>
      </c>
      <c r="E16" s="819">
        <v>0.6523297491039427</v>
      </c>
      <c r="F16" s="819">
        <v>0.45916666666666667</v>
      </c>
      <c r="G16" s="819">
        <v>0.38234051542036335</v>
      </c>
      <c r="H16" s="819">
        <v>0.47685185185185186</v>
      </c>
      <c r="I16" s="819">
        <v>0.53266460905349799</v>
      </c>
      <c r="J16" s="819">
        <v>0.57523809523809522</v>
      </c>
      <c r="K16" s="820">
        <v>0.62131427544048912</v>
      </c>
    </row>
    <row r="17" spans="1:12" x14ac:dyDescent="0.25">
      <c r="A17" s="689" t="s">
        <v>157</v>
      </c>
      <c r="B17" s="690" t="s">
        <v>158</v>
      </c>
      <c r="C17" s="691">
        <v>28.9</v>
      </c>
      <c r="D17" s="691">
        <v>29.146999999999998</v>
      </c>
      <c r="E17" s="691">
        <v>29.393999999999998</v>
      </c>
      <c r="F17" s="691">
        <v>29.640999999999998</v>
      </c>
      <c r="G17" s="691">
        <v>30.382000000000001</v>
      </c>
      <c r="H17" s="676">
        <v>31.37</v>
      </c>
      <c r="I17" s="676">
        <v>32.374000000000002</v>
      </c>
      <c r="J17" s="676">
        <v>33.409999999999997</v>
      </c>
      <c r="K17" s="677">
        <v>34.478999999999999</v>
      </c>
    </row>
    <row r="18" spans="1:12" s="606" customFormat="1" ht="52.8" x14ac:dyDescent="0.25">
      <c r="A18" s="816" t="s">
        <v>804</v>
      </c>
      <c r="B18" s="615" t="s">
        <v>158</v>
      </c>
      <c r="C18" s="637">
        <v>17.31111111111111</v>
      </c>
      <c r="D18" s="637">
        <v>21.069733333333332</v>
      </c>
      <c r="E18" s="637">
        <v>24.927155555555551</v>
      </c>
      <c r="F18" s="637">
        <v>25.966666666666665</v>
      </c>
      <c r="G18" s="637">
        <v>30.372000000000003</v>
      </c>
      <c r="H18" s="637">
        <v>31.360000000000003</v>
      </c>
      <c r="I18" s="637">
        <v>32.364000000000004</v>
      </c>
      <c r="J18" s="637">
        <v>33.4</v>
      </c>
      <c r="K18" s="821">
        <v>34.469000000000001</v>
      </c>
    </row>
    <row r="19" spans="1:12" ht="26.4" x14ac:dyDescent="0.25">
      <c r="A19" s="689" t="s">
        <v>947</v>
      </c>
      <c r="B19" s="690" t="s">
        <v>158</v>
      </c>
      <c r="C19" s="812">
        <v>0</v>
      </c>
      <c r="D19" s="812">
        <v>3.511622222222222</v>
      </c>
      <c r="E19" s="812">
        <v>7.1220444444444411</v>
      </c>
      <c r="F19" s="812">
        <v>7.9145555555555553</v>
      </c>
      <c r="G19" s="812">
        <v>11.578888888888891</v>
      </c>
      <c r="H19" s="669">
        <v>11.578888888888891</v>
      </c>
      <c r="I19" s="669">
        <v>11.578888888888891</v>
      </c>
      <c r="J19" s="669">
        <v>11.578888888888891</v>
      </c>
      <c r="K19" s="670">
        <v>11.578888888888891</v>
      </c>
    </row>
    <row r="20" spans="1:12" s="606" customFormat="1" ht="52.8" x14ac:dyDescent="0.25">
      <c r="A20" s="816" t="s">
        <v>1181</v>
      </c>
      <c r="B20" s="615" t="s">
        <v>158</v>
      </c>
      <c r="C20" s="637">
        <v>11.578888888888891</v>
      </c>
      <c r="D20" s="637">
        <v>8.0672666666666686</v>
      </c>
      <c r="E20" s="637">
        <v>4.4568444444444495</v>
      </c>
      <c r="F20" s="637">
        <v>3.6643333333333352</v>
      </c>
      <c r="G20" s="637">
        <v>0</v>
      </c>
      <c r="H20" s="637">
        <v>0</v>
      </c>
      <c r="I20" s="637">
        <v>0</v>
      </c>
      <c r="J20" s="637">
        <v>0</v>
      </c>
      <c r="K20" s="821">
        <v>0</v>
      </c>
    </row>
    <row r="21" spans="1:12" x14ac:dyDescent="0.25">
      <c r="A21" s="689" t="s">
        <v>890</v>
      </c>
      <c r="B21" s="690" t="s">
        <v>166</v>
      </c>
      <c r="C21" s="691">
        <v>0</v>
      </c>
      <c r="D21" s="691">
        <v>1.819020311111111</v>
      </c>
      <c r="E21" s="691">
        <v>7.3713159999999958</v>
      </c>
      <c r="F21" s="691">
        <v>14.918937222222221</v>
      </c>
      <c r="G21" s="691">
        <v>31.668261111111114</v>
      </c>
      <c r="H21" s="676">
        <v>28.71564444444445</v>
      </c>
      <c r="I21" s="676">
        <v>25.751448888888891</v>
      </c>
      <c r="J21" s="676">
        <v>24.280930000000005</v>
      </c>
      <c r="K21" s="677">
        <v>19.834636666666668</v>
      </c>
    </row>
    <row r="22" spans="1:12" s="606" customFormat="1" ht="26.4" x14ac:dyDescent="0.25">
      <c r="A22" s="816" t="s">
        <v>165</v>
      </c>
      <c r="B22" s="615" t="s">
        <v>166</v>
      </c>
      <c r="C22" s="638">
        <v>0</v>
      </c>
      <c r="D22" s="638">
        <v>7.8252486666666679</v>
      </c>
      <c r="E22" s="638">
        <v>8.6462782222222323</v>
      </c>
      <c r="F22" s="638">
        <v>14.268914000000008</v>
      </c>
      <c r="G22" s="637">
        <v>0</v>
      </c>
      <c r="H22" s="637">
        <v>0</v>
      </c>
      <c r="I22" s="637">
        <v>0</v>
      </c>
      <c r="J22" s="637">
        <v>0</v>
      </c>
      <c r="K22" s="821">
        <v>0</v>
      </c>
    </row>
    <row r="23" spans="1:12" ht="26.4" x14ac:dyDescent="0.25">
      <c r="A23" s="689" t="s">
        <v>1182</v>
      </c>
      <c r="B23" s="690" t="s">
        <v>169</v>
      </c>
      <c r="C23" s="691">
        <v>0</v>
      </c>
      <c r="D23" s="691">
        <v>28.262889999999999</v>
      </c>
      <c r="E23" s="691">
        <v>57.004959999999997</v>
      </c>
      <c r="F23" s="691">
        <v>115.38311400000001</v>
      </c>
      <c r="G23" s="691">
        <v>177.61545599999999</v>
      </c>
      <c r="H23" s="676">
        <v>177.18400000000003</v>
      </c>
      <c r="I23" s="676">
        <v>176.41616400000001</v>
      </c>
      <c r="J23" s="676">
        <v>178.7568</v>
      </c>
      <c r="K23" s="677">
        <v>174.24079500000002</v>
      </c>
    </row>
    <row r="24" spans="1:12" s="606" customFormat="1" ht="26.4" x14ac:dyDescent="0.25">
      <c r="A24" s="816" t="s">
        <v>1183</v>
      </c>
      <c r="B24" s="615" t="s">
        <v>169</v>
      </c>
      <c r="C24" s="637">
        <f t="shared" ref="C24:K24" si="0">C14*C17/1000</f>
        <v>1.0403999999999998</v>
      </c>
      <c r="D24" s="637">
        <f t="shared" si="0"/>
        <v>3.2061699999999997</v>
      </c>
      <c r="E24" s="637">
        <f t="shared" si="0"/>
        <v>106.99415999999999</v>
      </c>
      <c r="F24" s="637">
        <f t="shared" si="0"/>
        <v>97.993145999999996</v>
      </c>
      <c r="G24" s="637">
        <f t="shared" si="0"/>
        <v>109.98284000000001</v>
      </c>
      <c r="H24" s="637">
        <f t="shared" si="0"/>
        <v>161.55549999999999</v>
      </c>
      <c r="I24" s="637">
        <f t="shared" si="0"/>
        <v>201.13966200000002</v>
      </c>
      <c r="J24" s="637">
        <f t="shared" si="0"/>
        <v>242.15567999999996</v>
      </c>
      <c r="K24" s="821">
        <f t="shared" si="0"/>
        <v>285.96193019999998</v>
      </c>
    </row>
    <row r="25" spans="1:12" ht="26.4" x14ac:dyDescent="0.25">
      <c r="A25" s="689" t="s">
        <v>1184</v>
      </c>
      <c r="B25" s="690" t="s">
        <v>169</v>
      </c>
      <c r="C25" s="691">
        <f>C23+C24</f>
        <v>1.0403999999999998</v>
      </c>
      <c r="D25" s="691">
        <f t="shared" ref="D25:K25" si="1">D23+D24</f>
        <v>31.469059999999999</v>
      </c>
      <c r="E25" s="691">
        <f t="shared" si="1"/>
        <v>163.99912</v>
      </c>
      <c r="F25" s="691">
        <f t="shared" si="1"/>
        <v>213.37626</v>
      </c>
      <c r="G25" s="691">
        <f t="shared" si="1"/>
        <v>287.598296</v>
      </c>
      <c r="H25" s="691">
        <f t="shared" si="1"/>
        <v>338.73950000000002</v>
      </c>
      <c r="I25" s="691">
        <f t="shared" si="1"/>
        <v>377.55582600000002</v>
      </c>
      <c r="J25" s="691">
        <f t="shared" si="1"/>
        <v>420.91247999999996</v>
      </c>
      <c r="K25" s="692">
        <f t="shared" si="1"/>
        <v>460.20272520000003</v>
      </c>
      <c r="L25" s="18">
        <f>K23+K24</f>
        <v>460.20272520000003</v>
      </c>
    </row>
    <row r="26" spans="1:12" ht="39.6" x14ac:dyDescent="0.25">
      <c r="A26" s="689" t="s">
        <v>222</v>
      </c>
      <c r="B26" s="690" t="s">
        <v>169</v>
      </c>
      <c r="C26" s="813">
        <v>0.73099999999999998</v>
      </c>
      <c r="D26" s="813">
        <v>0.73099999999999998</v>
      </c>
      <c r="E26" s="813">
        <v>0.73099999999999998</v>
      </c>
      <c r="F26" s="813">
        <v>0.73099999999999998</v>
      </c>
      <c r="G26" s="813">
        <v>0.73099999999999998</v>
      </c>
      <c r="H26" s="671">
        <v>0.73099999999999998</v>
      </c>
      <c r="I26" s="671">
        <v>0.73099999999999998</v>
      </c>
      <c r="J26" s="671">
        <v>0.73099999999999998</v>
      </c>
      <c r="K26" s="697">
        <v>0.73099999999999998</v>
      </c>
    </row>
    <row r="27" spans="1:12" ht="26.4" x14ac:dyDescent="0.25">
      <c r="A27" s="689" t="s">
        <v>223</v>
      </c>
      <c r="B27" s="690" t="s">
        <v>166</v>
      </c>
      <c r="C27" s="691">
        <v>0.73099999999999998</v>
      </c>
      <c r="D27" s="691">
        <v>21.93</v>
      </c>
      <c r="E27" s="691">
        <v>113.30499999999999</v>
      </c>
      <c r="F27" s="691">
        <v>146.19999999999999</v>
      </c>
      <c r="G27" s="691">
        <v>192.25299999999999</v>
      </c>
      <c r="H27" s="676">
        <v>219.29999999999998</v>
      </c>
      <c r="I27" s="676">
        <v>236.84399999999999</v>
      </c>
      <c r="J27" s="676">
        <v>255.85</v>
      </c>
      <c r="K27" s="677">
        <v>271.0548</v>
      </c>
    </row>
    <row r="28" spans="1:12" s="606" customFormat="1" ht="39.6" x14ac:dyDescent="0.25">
      <c r="A28" s="816" t="s">
        <v>177</v>
      </c>
      <c r="B28" s="615" t="s">
        <v>178</v>
      </c>
      <c r="C28" s="828">
        <v>3.5348212628212626E-3</v>
      </c>
      <c r="D28" s="828">
        <v>0.10604463788463787</v>
      </c>
      <c r="E28" s="828">
        <v>0.54789729573729573</v>
      </c>
      <c r="F28" s="828">
        <v>0.70696425256425255</v>
      </c>
      <c r="G28" s="828">
        <v>0.92965799212199218</v>
      </c>
      <c r="H28" s="828">
        <v>1.0604463788463787</v>
      </c>
      <c r="I28" s="828">
        <v>1.1452820891540891</v>
      </c>
      <c r="J28" s="828">
        <v>1.237187441987442</v>
      </c>
      <c r="K28" s="829">
        <v>1.3107117242541242</v>
      </c>
    </row>
    <row r="29" spans="1:12" ht="39.6" x14ac:dyDescent="0.25">
      <c r="A29" s="689" t="s">
        <v>177</v>
      </c>
      <c r="B29" s="690" t="s">
        <v>179</v>
      </c>
      <c r="C29" s="814">
        <v>1.2725356546156546E-2</v>
      </c>
      <c r="D29" s="814">
        <v>0.38176069638469634</v>
      </c>
      <c r="E29" s="814">
        <v>1.9724302646542646</v>
      </c>
      <c r="F29" s="814">
        <v>2.5450713092313091</v>
      </c>
      <c r="G29" s="814">
        <v>3.3467687716391716</v>
      </c>
      <c r="H29" s="695">
        <v>3.8176069638469641</v>
      </c>
      <c r="I29" s="695">
        <v>4.1230155209547208</v>
      </c>
      <c r="J29" s="695">
        <v>4.4538747911547905</v>
      </c>
      <c r="K29" s="696">
        <v>4.7185622073148483</v>
      </c>
    </row>
    <row r="30" spans="1:12" s="606" customFormat="1" ht="39.6" x14ac:dyDescent="0.25">
      <c r="A30" s="816" t="s">
        <v>723</v>
      </c>
      <c r="B30" s="615" t="s">
        <v>181</v>
      </c>
      <c r="C30" s="615">
        <v>0.79</v>
      </c>
      <c r="D30" s="638">
        <v>23.700000000000003</v>
      </c>
      <c r="E30" s="638">
        <v>122.45</v>
      </c>
      <c r="F30" s="638">
        <v>158</v>
      </c>
      <c r="G30" s="638">
        <v>207.76999999999998</v>
      </c>
      <c r="H30" s="638">
        <v>237</v>
      </c>
      <c r="I30" s="638">
        <v>255.96000000000004</v>
      </c>
      <c r="J30" s="638">
        <v>276.5</v>
      </c>
      <c r="K30" s="818">
        <v>292.93200000000002</v>
      </c>
    </row>
    <row r="31" spans="1:12" x14ac:dyDescent="0.25">
      <c r="A31" s="689" t="s">
        <v>736</v>
      </c>
      <c r="B31" s="690" t="s">
        <v>181</v>
      </c>
      <c r="C31" s="813">
        <v>0.14000000000000001</v>
      </c>
      <c r="D31" s="815">
        <v>4.2</v>
      </c>
      <c r="E31" s="815">
        <v>21.700000000000003</v>
      </c>
      <c r="F31" s="815">
        <v>28.000000000000004</v>
      </c>
      <c r="G31" s="815">
        <v>36.82</v>
      </c>
      <c r="H31" s="667">
        <v>42.000000000000007</v>
      </c>
      <c r="I31" s="667">
        <v>45.360000000000007</v>
      </c>
      <c r="J31" s="667">
        <v>49.000000000000007</v>
      </c>
      <c r="K31" s="668">
        <v>51.912000000000006</v>
      </c>
    </row>
    <row r="32" spans="1:12" s="606" customFormat="1" x14ac:dyDescent="0.25">
      <c r="A32" s="816" t="s">
        <v>590</v>
      </c>
      <c r="B32" s="615" t="s">
        <v>181</v>
      </c>
      <c r="C32" s="827">
        <v>0.17</v>
      </c>
      <c r="D32" s="830">
        <v>5.1000000000000005</v>
      </c>
      <c r="E32" s="830">
        <v>26.35</v>
      </c>
      <c r="F32" s="830">
        <v>34</v>
      </c>
      <c r="G32" s="830">
        <v>44.71</v>
      </c>
      <c r="H32" s="830">
        <v>51.000000000000007</v>
      </c>
      <c r="I32" s="830">
        <v>55.080000000000005</v>
      </c>
      <c r="J32" s="830">
        <v>59.500000000000007</v>
      </c>
      <c r="K32" s="831">
        <v>63.036000000000008</v>
      </c>
    </row>
    <row r="33" spans="1:11" x14ac:dyDescent="0.25">
      <c r="A33" s="689" t="s">
        <v>737</v>
      </c>
      <c r="B33" s="690" t="s">
        <v>181</v>
      </c>
      <c r="C33" s="813">
        <v>0.21</v>
      </c>
      <c r="D33" s="815">
        <v>6.3</v>
      </c>
      <c r="E33" s="815">
        <v>32.549999999999997</v>
      </c>
      <c r="F33" s="815">
        <v>42</v>
      </c>
      <c r="G33" s="815">
        <v>55.23</v>
      </c>
      <c r="H33" s="667">
        <v>63</v>
      </c>
      <c r="I33" s="667">
        <v>68.039999999999992</v>
      </c>
      <c r="J33" s="667">
        <v>73.5</v>
      </c>
      <c r="K33" s="668">
        <v>77.867999999999995</v>
      </c>
    </row>
    <row r="34" spans="1:11" s="606" customFormat="1" x14ac:dyDescent="0.25">
      <c r="A34" s="816" t="s">
        <v>738</v>
      </c>
      <c r="B34" s="615" t="s">
        <v>181</v>
      </c>
      <c r="C34" s="827">
        <v>0.14000000000000001</v>
      </c>
      <c r="D34" s="830">
        <v>4.2</v>
      </c>
      <c r="E34" s="830">
        <v>21.700000000000003</v>
      </c>
      <c r="F34" s="830">
        <v>28.000000000000004</v>
      </c>
      <c r="G34" s="830">
        <v>36.82</v>
      </c>
      <c r="H34" s="830">
        <v>42.000000000000007</v>
      </c>
      <c r="I34" s="830">
        <v>45.360000000000007</v>
      </c>
      <c r="J34" s="830">
        <v>49.000000000000007</v>
      </c>
      <c r="K34" s="831">
        <v>51.912000000000006</v>
      </c>
    </row>
    <row r="35" spans="1:11" ht="26.4" x14ac:dyDescent="0.25">
      <c r="A35" s="689" t="s">
        <v>735</v>
      </c>
      <c r="B35" s="690" t="s">
        <v>181</v>
      </c>
      <c r="C35" s="813">
        <v>0.13</v>
      </c>
      <c r="D35" s="815">
        <v>3.9000000000000004</v>
      </c>
      <c r="E35" s="815">
        <v>20.150000000000002</v>
      </c>
      <c r="F35" s="815">
        <v>26</v>
      </c>
      <c r="G35" s="815">
        <v>34.19</v>
      </c>
      <c r="H35" s="667">
        <v>39</v>
      </c>
      <c r="I35" s="667">
        <v>42.120000000000005</v>
      </c>
      <c r="J35" s="667">
        <v>45.5</v>
      </c>
      <c r="K35" s="668">
        <v>48.204000000000001</v>
      </c>
    </row>
    <row r="36" spans="1:11" s="606" customFormat="1" x14ac:dyDescent="0.25">
      <c r="A36" s="816" t="s">
        <v>1160</v>
      </c>
      <c r="B36" s="615" t="s">
        <v>181</v>
      </c>
      <c r="C36" s="638">
        <v>0.84839200000000003</v>
      </c>
      <c r="D36" s="638">
        <v>24.603368</v>
      </c>
      <c r="E36" s="638">
        <v>106.04900000000001</v>
      </c>
      <c r="F36" s="638">
        <v>38.177639999999997</v>
      </c>
      <c r="G36" s="638">
        <v>53.448695999999998</v>
      </c>
      <c r="H36" s="638">
        <v>31.390504</v>
      </c>
      <c r="I36" s="638">
        <v>20.361408000000001</v>
      </c>
      <c r="J36" s="638">
        <v>22.058191999999998</v>
      </c>
      <c r="K36" s="818">
        <v>17.646553600000008</v>
      </c>
    </row>
    <row r="37" spans="1:11" x14ac:dyDescent="0.25">
      <c r="A37" s="689" t="s">
        <v>1164</v>
      </c>
      <c r="B37" s="690" t="s">
        <v>181</v>
      </c>
      <c r="C37" s="812">
        <v>2.8274400000000002</v>
      </c>
      <c r="D37" s="812">
        <v>81.995760000000004</v>
      </c>
      <c r="E37" s="812">
        <v>353.43</v>
      </c>
      <c r="F37" s="812">
        <v>127.23480000000001</v>
      </c>
      <c r="G37" s="812">
        <v>178.12871999999999</v>
      </c>
      <c r="H37" s="669">
        <v>104.61528</v>
      </c>
      <c r="I37" s="669">
        <v>67.858559999999997</v>
      </c>
      <c r="J37" s="669">
        <v>73.513440000000003</v>
      </c>
      <c r="K37" s="670">
        <v>58.810752000000029</v>
      </c>
    </row>
    <row r="38" spans="1:11" s="606" customFormat="1" x14ac:dyDescent="0.25">
      <c r="A38" s="816" t="s">
        <v>1162</v>
      </c>
      <c r="B38" s="615" t="s">
        <v>181</v>
      </c>
      <c r="C38" s="638">
        <v>0.5</v>
      </c>
      <c r="D38" s="638">
        <v>14.5</v>
      </c>
      <c r="E38" s="638">
        <v>62.5</v>
      </c>
      <c r="F38" s="638">
        <v>22.5</v>
      </c>
      <c r="G38" s="638">
        <v>31.5</v>
      </c>
      <c r="H38" s="638">
        <v>18.5</v>
      </c>
      <c r="I38" s="638">
        <v>12</v>
      </c>
      <c r="J38" s="638">
        <v>13</v>
      </c>
      <c r="K38" s="818">
        <v>10.400000000000006</v>
      </c>
    </row>
    <row r="39" spans="1:11" ht="26.4" x14ac:dyDescent="0.25">
      <c r="A39" s="689" t="s">
        <v>1163</v>
      </c>
      <c r="B39" s="690" t="s">
        <v>181</v>
      </c>
      <c r="C39" s="812">
        <v>0.36994017094017095</v>
      </c>
      <c r="D39" s="812">
        <v>10.728264957264958</v>
      </c>
      <c r="E39" s="812">
        <v>46.24252136752137</v>
      </c>
      <c r="F39" s="812">
        <v>16.647307692307692</v>
      </c>
      <c r="G39" s="812">
        <v>23.306230769230769</v>
      </c>
      <c r="H39" s="669">
        <v>13.687786324786323</v>
      </c>
      <c r="I39" s="669">
        <v>8.878564102564102</v>
      </c>
      <c r="J39" s="669">
        <v>9.6184444444444441</v>
      </c>
      <c r="K39" s="670">
        <v>7.6947555555555596</v>
      </c>
    </row>
    <row r="40" spans="1:11" s="606" customFormat="1" ht="26.4" x14ac:dyDescent="0.25">
      <c r="A40" s="816" t="s">
        <v>1191</v>
      </c>
      <c r="B40" s="615" t="s">
        <v>181</v>
      </c>
      <c r="C40" s="615"/>
      <c r="D40" s="832">
        <v>2.806669418202119</v>
      </c>
      <c r="E40" s="832">
        <v>12.097713009491894</v>
      </c>
      <c r="F40" s="827">
        <v>4.3551766834170822</v>
      </c>
      <c r="G40" s="827" t="s">
        <v>800</v>
      </c>
      <c r="H40" s="615"/>
      <c r="I40" s="615"/>
      <c r="J40" s="615"/>
      <c r="K40" s="817"/>
    </row>
    <row r="41" spans="1:11" ht="26.4" x14ac:dyDescent="0.25">
      <c r="A41" s="689" t="s">
        <v>1185</v>
      </c>
      <c r="B41" s="690" t="s">
        <v>166</v>
      </c>
      <c r="C41" s="691">
        <v>0.10206516218769673</v>
      </c>
      <c r="D41" s="691">
        <v>3.0619548656309017</v>
      </c>
      <c r="E41" s="691">
        <v>15.820100139092993</v>
      </c>
      <c r="F41" s="691">
        <v>20.413032437539343</v>
      </c>
      <c r="G41" s="691">
        <v>26.843137655364238</v>
      </c>
      <c r="H41" s="676">
        <v>30.619548656309021</v>
      </c>
      <c r="I41" s="676">
        <v>33.069112548813742</v>
      </c>
      <c r="J41" s="676">
        <v>35.722806765693853</v>
      </c>
      <c r="K41" s="677">
        <v>37.845762139197944</v>
      </c>
    </row>
    <row r="42" spans="1:11" s="606" customFormat="1" x14ac:dyDescent="0.25">
      <c r="A42" s="816" t="s">
        <v>1186</v>
      </c>
      <c r="B42" s="615" t="s">
        <v>166</v>
      </c>
      <c r="C42" s="637">
        <f>C41-C43</f>
        <v>6.7684022698502239E-2</v>
      </c>
      <c r="D42" s="637">
        <f t="shared" ref="D42:K42" si="2">D41-D43</f>
        <v>2.0305206809550667</v>
      </c>
      <c r="E42" s="637">
        <f t="shared" si="2"/>
        <v>10.491023518267845</v>
      </c>
      <c r="F42" s="637">
        <f t="shared" si="2"/>
        <v>13.536804539700443</v>
      </c>
      <c r="G42" s="637">
        <f t="shared" si="2"/>
        <v>17.800897969706085</v>
      </c>
      <c r="H42" s="637">
        <f t="shared" si="2"/>
        <v>20.305206809550668</v>
      </c>
      <c r="I42" s="637">
        <f t="shared" si="2"/>
        <v>21.929623354314721</v>
      </c>
      <c r="J42" s="637">
        <f t="shared" si="2"/>
        <v>23.689407944475775</v>
      </c>
      <c r="K42" s="821">
        <f t="shared" si="2"/>
        <v>25.097235616604621</v>
      </c>
    </row>
    <row r="43" spans="1:11" ht="39.6" x14ac:dyDescent="0.25">
      <c r="A43" s="689" t="s">
        <v>1187</v>
      </c>
      <c r="B43" s="690" t="s">
        <v>166</v>
      </c>
      <c r="C43" s="691">
        <v>3.4381139489194502E-2</v>
      </c>
      <c r="D43" s="691">
        <v>1.031434184675835</v>
      </c>
      <c r="E43" s="691">
        <v>5.3290766208251474</v>
      </c>
      <c r="F43" s="691">
        <v>6.8762278978389002</v>
      </c>
      <c r="G43" s="691">
        <v>9.0422396856581546</v>
      </c>
      <c r="H43" s="676">
        <v>10.314341846758351</v>
      </c>
      <c r="I43" s="676">
        <v>11.139489194499019</v>
      </c>
      <c r="J43" s="676">
        <v>12.033398821218077</v>
      </c>
      <c r="K43" s="677">
        <v>12.748526522593322</v>
      </c>
    </row>
    <row r="44" spans="1:11" s="606" customFormat="1" ht="39.6" x14ac:dyDescent="0.25">
      <c r="A44" s="816" t="s">
        <v>1188</v>
      </c>
      <c r="B44" s="615" t="s">
        <v>214</v>
      </c>
      <c r="C44" s="638">
        <v>648</v>
      </c>
      <c r="D44" s="638">
        <v>19440</v>
      </c>
      <c r="E44" s="638">
        <v>100440</v>
      </c>
      <c r="F44" s="638">
        <v>129600</v>
      </c>
      <c r="G44" s="638">
        <v>170424</v>
      </c>
      <c r="H44" s="638">
        <v>194400</v>
      </c>
      <c r="I44" s="638">
        <v>209952</v>
      </c>
      <c r="J44" s="638">
        <v>226800</v>
      </c>
      <c r="K44" s="818">
        <v>240278.40000000002</v>
      </c>
    </row>
    <row r="45" spans="1:11" x14ac:dyDescent="0.25">
      <c r="A45" s="809"/>
      <c r="B45" s="809"/>
      <c r="C45" s="809" t="s">
        <v>7</v>
      </c>
      <c r="D45" s="809"/>
      <c r="E45" s="809"/>
      <c r="F45" s="809"/>
      <c r="G45" s="809"/>
    </row>
    <row r="46" spans="1:11" ht="26.4" x14ac:dyDescent="0.25">
      <c r="A46" s="805" t="s">
        <v>722</v>
      </c>
      <c r="D46" s="807">
        <v>38.965872950499694</v>
      </c>
      <c r="E46" s="807">
        <v>167.13609137080715</v>
      </c>
      <c r="F46" s="807">
        <v>207.51712312095646</v>
      </c>
      <c r="G46" s="807">
        <v>248.3943376553643</v>
      </c>
      <c r="H46" s="648">
        <v>283.33954865630903</v>
      </c>
      <c r="I46" s="648">
        <v>306.00671254881377</v>
      </c>
      <c r="J46" s="648">
        <v>330.56280676569389</v>
      </c>
      <c r="K46" s="648">
        <v>350.20768213919803</v>
      </c>
    </row>
    <row r="47" spans="1:11" x14ac:dyDescent="0.25">
      <c r="B47" s="805" t="s">
        <v>143</v>
      </c>
      <c r="D47" s="805">
        <v>2015</v>
      </c>
      <c r="E47" s="805">
        <v>2020</v>
      </c>
      <c r="F47" s="805">
        <v>2025</v>
      </c>
      <c r="G47" s="805">
        <v>2030</v>
      </c>
      <c r="H47">
        <v>2035</v>
      </c>
      <c r="I47">
        <v>2040</v>
      </c>
      <c r="J47">
        <v>2045</v>
      </c>
      <c r="K47">
        <v>2050</v>
      </c>
    </row>
    <row r="48" spans="1:11" ht="26.4" x14ac:dyDescent="0.25">
      <c r="A48" s="807" t="s">
        <v>609</v>
      </c>
      <c r="B48" s="807" t="s">
        <v>65</v>
      </c>
      <c r="C48" s="808"/>
      <c r="D48" s="808">
        <v>381.76069638469636</v>
      </c>
      <c r="E48" s="808">
        <v>1972.4302646542646</v>
      </c>
      <c r="F48" s="808">
        <v>2545.071309231309</v>
      </c>
      <c r="G48" s="808">
        <v>3346.7687716391715</v>
      </c>
      <c r="H48" s="323">
        <v>3817.6069638469639</v>
      </c>
      <c r="I48" s="323">
        <v>4123.0155209547211</v>
      </c>
      <c r="J48" s="323">
        <v>4453.8747911547907</v>
      </c>
      <c r="K48" s="323">
        <v>4718.5622073148479</v>
      </c>
    </row>
    <row r="49" spans="1:11" ht="26.4" x14ac:dyDescent="0.25">
      <c r="A49" s="807" t="s">
        <v>610</v>
      </c>
      <c r="B49" s="807" t="s">
        <v>181</v>
      </c>
      <c r="C49" s="807"/>
      <c r="D49" s="807">
        <v>38.965872950499694</v>
      </c>
      <c r="E49" s="807">
        <v>167.13609137080715</v>
      </c>
      <c r="F49" s="807">
        <v>207.51712312095646</v>
      </c>
      <c r="G49" s="807">
        <v>248.3943376553643</v>
      </c>
      <c r="H49" s="648">
        <v>283.33954865630903</v>
      </c>
      <c r="I49" s="648">
        <v>306.00671254881377</v>
      </c>
      <c r="J49" s="648">
        <v>330.56280676569389</v>
      </c>
      <c r="K49" s="648">
        <v>350.20768213919803</v>
      </c>
    </row>
    <row r="50" spans="1:11" x14ac:dyDescent="0.25">
      <c r="A50" s="807" t="s">
        <v>736</v>
      </c>
      <c r="B50" s="807" t="s">
        <v>181</v>
      </c>
      <c r="C50" s="807"/>
      <c r="D50" s="807">
        <v>4.2</v>
      </c>
      <c r="E50" s="807">
        <v>21.700000000000003</v>
      </c>
      <c r="F50" s="807">
        <v>28.000000000000004</v>
      </c>
      <c r="G50" s="807">
        <v>36.82</v>
      </c>
      <c r="H50" s="648">
        <v>42.000000000000007</v>
      </c>
      <c r="I50" s="648">
        <v>45.360000000000007</v>
      </c>
      <c r="J50" s="648">
        <v>49.000000000000007</v>
      </c>
      <c r="K50" s="648">
        <v>51.912000000000006</v>
      </c>
    </row>
    <row r="51" spans="1:11" x14ac:dyDescent="0.25">
      <c r="A51" s="807" t="s">
        <v>590</v>
      </c>
      <c r="B51" s="807" t="s">
        <v>181</v>
      </c>
      <c r="C51" s="807"/>
      <c r="D51" s="807">
        <v>5.1000000000000005</v>
      </c>
      <c r="E51" s="807">
        <v>26.35</v>
      </c>
      <c r="F51" s="807">
        <v>34</v>
      </c>
      <c r="G51" s="807">
        <v>44.71</v>
      </c>
      <c r="H51" s="648">
        <v>51.000000000000007</v>
      </c>
      <c r="I51" s="648">
        <v>55.080000000000005</v>
      </c>
      <c r="J51" s="648">
        <v>59.500000000000007</v>
      </c>
      <c r="K51" s="648">
        <v>63.036000000000008</v>
      </c>
    </row>
    <row r="52" spans="1:11" x14ac:dyDescent="0.25">
      <c r="A52" s="807" t="s">
        <v>737</v>
      </c>
      <c r="B52" s="807" t="s">
        <v>181</v>
      </c>
      <c r="C52" s="807"/>
      <c r="D52" s="807">
        <v>6.3</v>
      </c>
      <c r="E52" s="807">
        <v>32.549999999999997</v>
      </c>
      <c r="F52" s="807">
        <v>42</v>
      </c>
      <c r="G52" s="807">
        <v>55.23</v>
      </c>
      <c r="H52" s="648">
        <v>63</v>
      </c>
      <c r="I52" s="648">
        <v>68.039999999999992</v>
      </c>
      <c r="J52" s="648">
        <v>73.5</v>
      </c>
      <c r="K52" s="648">
        <v>77.867999999999995</v>
      </c>
    </row>
    <row r="53" spans="1:11" x14ac:dyDescent="0.25">
      <c r="A53" s="807" t="s">
        <v>738</v>
      </c>
      <c r="B53" s="807" t="s">
        <v>181</v>
      </c>
      <c r="C53" s="807"/>
      <c r="D53" s="807">
        <v>4.2</v>
      </c>
      <c r="E53" s="807">
        <v>21.700000000000003</v>
      </c>
      <c r="F53" s="807">
        <v>28.000000000000004</v>
      </c>
      <c r="G53" s="807">
        <v>36.82</v>
      </c>
      <c r="H53" s="648">
        <v>42.000000000000007</v>
      </c>
      <c r="I53" s="648">
        <v>45.360000000000007</v>
      </c>
      <c r="J53" s="648">
        <v>49.000000000000007</v>
      </c>
      <c r="K53" s="648">
        <v>51.912000000000006</v>
      </c>
    </row>
    <row r="54" spans="1:11" x14ac:dyDescent="0.25">
      <c r="A54" s="807" t="s">
        <v>628</v>
      </c>
      <c r="B54" s="807" t="s">
        <v>181</v>
      </c>
      <c r="C54" s="807"/>
      <c r="D54" s="807">
        <v>3.9000000000000004</v>
      </c>
      <c r="E54" s="807">
        <v>20.150000000000002</v>
      </c>
      <c r="F54" s="807">
        <v>26</v>
      </c>
      <c r="G54" s="807">
        <v>34.19</v>
      </c>
      <c r="H54" s="648">
        <v>39</v>
      </c>
      <c r="I54" s="648">
        <v>42.120000000000005</v>
      </c>
      <c r="J54" s="648">
        <v>45.5</v>
      </c>
      <c r="K54" s="648">
        <v>48.204000000000001</v>
      </c>
    </row>
    <row r="55" spans="1:11" x14ac:dyDescent="0.25">
      <c r="A55" s="807" t="s">
        <v>631</v>
      </c>
      <c r="B55" s="807" t="s">
        <v>181</v>
      </c>
      <c r="C55" s="807"/>
      <c r="D55" s="807">
        <v>15.265872950499691</v>
      </c>
      <c r="E55" s="807">
        <v>44.686091370807148</v>
      </c>
      <c r="F55" s="807">
        <v>49.517123120956455</v>
      </c>
      <c r="G55" s="807">
        <v>40.624337655364315</v>
      </c>
      <c r="H55" s="648">
        <v>46.339548656309034</v>
      </c>
      <c r="I55" s="648">
        <v>50.04671254881373</v>
      </c>
      <c r="J55" s="648">
        <v>54.062806765693892</v>
      </c>
      <c r="K55" s="648">
        <v>57.275682139198011</v>
      </c>
    </row>
    <row r="56" spans="1:11" x14ac:dyDescent="0.25">
      <c r="A56" s="807" t="s">
        <v>597</v>
      </c>
      <c r="B56" s="807" t="s">
        <v>181</v>
      </c>
      <c r="C56" s="807"/>
      <c r="D56" s="807">
        <v>3.0619548656309017</v>
      </c>
      <c r="E56" s="807">
        <v>15.820100139092993</v>
      </c>
      <c r="F56" s="807">
        <v>20.413032437539343</v>
      </c>
      <c r="G56" s="807">
        <v>26.843137655364238</v>
      </c>
      <c r="H56" s="648">
        <v>30.619548656309021</v>
      </c>
      <c r="I56" s="648">
        <v>33.069112548813742</v>
      </c>
      <c r="J56" s="648">
        <v>35.722806765693853</v>
      </c>
      <c r="K56" s="648">
        <v>37.845762139197944</v>
      </c>
    </row>
    <row r="57" spans="1:11" ht="26.4" x14ac:dyDescent="0.25">
      <c r="A57" s="807" t="s">
        <v>592</v>
      </c>
      <c r="B57" s="807" t="s">
        <v>181</v>
      </c>
      <c r="C57" s="807"/>
      <c r="D57" s="807">
        <v>25.272000000000006</v>
      </c>
      <c r="E57" s="807">
        <v>130.57200000000003</v>
      </c>
      <c r="F57" s="807">
        <v>168.48000000000002</v>
      </c>
      <c r="G57" s="807">
        <v>221.55120000000005</v>
      </c>
      <c r="H57" s="648">
        <v>252.72000000000003</v>
      </c>
      <c r="I57" s="648">
        <v>272.93760000000003</v>
      </c>
      <c r="J57" s="648">
        <v>294.84000000000003</v>
      </c>
      <c r="K57" s="648">
        <v>312.36192000000005</v>
      </c>
    </row>
    <row r="58" spans="1:11" x14ac:dyDescent="0.25">
      <c r="A58" s="807" t="s">
        <v>189</v>
      </c>
      <c r="B58" s="807" t="s">
        <v>181</v>
      </c>
      <c r="C58" s="807"/>
      <c r="D58" s="807">
        <v>131.82739295726498</v>
      </c>
      <c r="E58" s="807">
        <v>568.2215213675214</v>
      </c>
      <c r="F58" s="807">
        <v>204.5597476923077</v>
      </c>
      <c r="G58" s="807">
        <v>286.38364676923072</v>
      </c>
      <c r="H58" s="648">
        <v>168.19357032478632</v>
      </c>
      <c r="I58" s="648">
        <v>109.09853210256409</v>
      </c>
      <c r="J58" s="648">
        <v>118.19007644444444</v>
      </c>
      <c r="K58" s="648">
        <v>94.552061155555606</v>
      </c>
    </row>
    <row r="59" spans="1:11" x14ac:dyDescent="0.25">
      <c r="A59" s="807" t="s">
        <v>190</v>
      </c>
      <c r="B59" s="807" t="s">
        <v>181</v>
      </c>
      <c r="C59" s="807"/>
      <c r="D59" s="807">
        <v>24.603368</v>
      </c>
      <c r="E59" s="807">
        <v>106.04900000000001</v>
      </c>
      <c r="F59" s="807">
        <v>38.177639999999997</v>
      </c>
      <c r="G59" s="807">
        <v>53.448695999999998</v>
      </c>
      <c r="H59" s="648">
        <v>31.390504</v>
      </c>
      <c r="I59" s="648">
        <v>20.361408000000001</v>
      </c>
      <c r="J59" s="648">
        <v>22.058191999999998</v>
      </c>
      <c r="K59" s="648">
        <v>17.646553600000008</v>
      </c>
    </row>
    <row r="60" spans="1:11" x14ac:dyDescent="0.25">
      <c r="A60" s="807" t="s">
        <v>192</v>
      </c>
      <c r="B60" s="807" t="s">
        <v>181</v>
      </c>
      <c r="C60" s="807"/>
      <c r="D60" s="807">
        <v>81.995760000000004</v>
      </c>
      <c r="E60" s="807">
        <v>353.43</v>
      </c>
      <c r="F60" s="807">
        <v>127.23480000000001</v>
      </c>
      <c r="G60" s="807">
        <v>178.12871999999999</v>
      </c>
      <c r="H60" s="648">
        <v>104.61528</v>
      </c>
      <c r="I60" s="648">
        <v>67.858559999999997</v>
      </c>
      <c r="J60" s="648">
        <v>73.513440000000003</v>
      </c>
      <c r="K60" s="648">
        <v>58.810752000000029</v>
      </c>
    </row>
    <row r="61" spans="1:11" x14ac:dyDescent="0.25">
      <c r="A61" s="807" t="s">
        <v>193</v>
      </c>
      <c r="B61" s="807" t="s">
        <v>181</v>
      </c>
      <c r="C61" s="807"/>
      <c r="D61" s="807">
        <v>14.5</v>
      </c>
      <c r="E61" s="807">
        <v>62.5</v>
      </c>
      <c r="F61" s="807">
        <v>22.5</v>
      </c>
      <c r="G61" s="807">
        <v>31.5</v>
      </c>
      <c r="H61" s="648">
        <v>18.5</v>
      </c>
      <c r="I61" s="648">
        <v>12</v>
      </c>
      <c r="J61" s="648">
        <v>13</v>
      </c>
      <c r="K61" s="648">
        <v>10.400000000000006</v>
      </c>
    </row>
    <row r="62" spans="1:11" x14ac:dyDescent="0.25">
      <c r="A62" s="807" t="s">
        <v>194</v>
      </c>
      <c r="B62" s="807" t="s">
        <v>181</v>
      </c>
      <c r="C62" s="807"/>
      <c r="D62" s="807">
        <v>10.728264957264958</v>
      </c>
      <c r="E62" s="807">
        <v>46.24252136752137</v>
      </c>
      <c r="F62" s="807">
        <v>16.647307692307692</v>
      </c>
      <c r="G62" s="807">
        <v>23.306230769230769</v>
      </c>
      <c r="H62" s="648">
        <v>13.687786324786323</v>
      </c>
      <c r="I62" s="648">
        <v>8.878564102564102</v>
      </c>
      <c r="J62" s="648">
        <v>9.6184444444444441</v>
      </c>
      <c r="K62" s="648">
        <v>7.6947555555555596</v>
      </c>
    </row>
    <row r="63" spans="1:11" ht="26.4" x14ac:dyDescent="0.25">
      <c r="A63" s="807" t="s">
        <v>730</v>
      </c>
      <c r="B63" s="807" t="s">
        <v>181</v>
      </c>
      <c r="C63" s="807"/>
      <c r="D63" s="807">
        <v>6.2670248656309013</v>
      </c>
      <c r="E63" s="807">
        <v>122.77786013909298</v>
      </c>
      <c r="F63" s="807">
        <v>118.37311843753933</v>
      </c>
      <c r="G63" s="807">
        <v>136.78977765536425</v>
      </c>
      <c r="H63" s="648">
        <v>192.12354865630903</v>
      </c>
      <c r="I63" s="648">
        <v>234.14664454881378</v>
      </c>
      <c r="J63" s="648">
        <v>277.80600676569384</v>
      </c>
      <c r="K63" s="648">
        <v>323.72475433919794</v>
      </c>
    </row>
    <row r="64" spans="1:11" x14ac:dyDescent="0.25">
      <c r="A64" s="807" t="s">
        <v>594</v>
      </c>
      <c r="B64" s="807" t="s">
        <v>181</v>
      </c>
      <c r="C64" s="807"/>
      <c r="D64" s="807">
        <v>10.631918084868786</v>
      </c>
      <c r="E64" s="807">
        <v>20.743991231714126</v>
      </c>
      <c r="F64" s="807">
        <v>18.624090683417091</v>
      </c>
      <c r="G64" s="807">
        <v>0</v>
      </c>
      <c r="H64" s="648">
        <v>0</v>
      </c>
      <c r="I64" s="648">
        <v>0</v>
      </c>
      <c r="J64" s="648">
        <v>0</v>
      </c>
      <c r="K64" s="648">
        <v>0</v>
      </c>
    </row>
    <row r="65" spans="1:11" x14ac:dyDescent="0.25">
      <c r="A65" s="807" t="s">
        <v>195</v>
      </c>
      <c r="B65" s="807"/>
      <c r="C65" s="807"/>
      <c r="D65" s="807"/>
      <c r="E65" s="807"/>
      <c r="F65" s="807"/>
      <c r="G65" s="807"/>
      <c r="H65" s="648"/>
      <c r="I65" s="648"/>
      <c r="J65" s="648"/>
      <c r="K65" s="648"/>
    </row>
    <row r="66" spans="1:11" x14ac:dyDescent="0.25">
      <c r="A66" s="807" t="s">
        <v>595</v>
      </c>
      <c r="B66" s="807" t="s">
        <v>196</v>
      </c>
      <c r="C66" s="807"/>
      <c r="D66" s="806">
        <v>8604.9303835331102</v>
      </c>
      <c r="E66" s="806">
        <v>44458.806981587739</v>
      </c>
      <c r="F66" s="806">
        <v>57366.202556887394</v>
      </c>
      <c r="G66" s="806">
        <v>75436.556362306932</v>
      </c>
      <c r="H66" s="84">
        <v>86049.303835331099</v>
      </c>
      <c r="I66" s="84">
        <v>92933.248142157594</v>
      </c>
      <c r="J66" s="84">
        <v>100390.85447455297</v>
      </c>
      <c r="K66" s="84">
        <v>106356.93954046923</v>
      </c>
    </row>
    <row r="67" spans="1:11" x14ac:dyDescent="0.25">
      <c r="A67" s="807" t="s">
        <v>596</v>
      </c>
      <c r="B67" s="807" t="s">
        <v>65</v>
      </c>
      <c r="C67" s="807">
        <v>36</v>
      </c>
      <c r="D67" s="807">
        <v>1080</v>
      </c>
      <c r="E67" s="807">
        <v>5580</v>
      </c>
      <c r="F67" s="807">
        <v>7200</v>
      </c>
      <c r="G67" s="807">
        <v>9468</v>
      </c>
      <c r="H67" s="648">
        <v>10800</v>
      </c>
      <c r="I67" s="648">
        <v>11664</v>
      </c>
      <c r="J67" s="648">
        <v>12600</v>
      </c>
      <c r="K67" s="648">
        <v>13348.800000000001</v>
      </c>
    </row>
    <row r="68" spans="1:11" ht="26.4" x14ac:dyDescent="0.25">
      <c r="A68" s="807" t="s">
        <v>598</v>
      </c>
      <c r="B68" s="807" t="s">
        <v>718</v>
      </c>
      <c r="C68" s="807"/>
      <c r="D68" s="806">
        <v>19.440000000000001</v>
      </c>
      <c r="E68" s="806">
        <v>100.44</v>
      </c>
      <c r="F68" s="806">
        <v>129.6</v>
      </c>
      <c r="G68" s="806">
        <v>170.42400000000001</v>
      </c>
      <c r="H68" s="84">
        <v>194.4</v>
      </c>
      <c r="I68" s="84">
        <v>209.952</v>
      </c>
      <c r="J68" s="84">
        <v>226.8</v>
      </c>
      <c r="K68" s="84">
        <v>240.27840000000003</v>
      </c>
    </row>
    <row r="71" spans="1:11" x14ac:dyDescent="0.25">
      <c r="A71" s="807"/>
      <c r="B71" s="807" t="s">
        <v>143</v>
      </c>
      <c r="C71" s="807"/>
      <c r="D71" s="808">
        <v>2015</v>
      </c>
      <c r="E71" s="808">
        <v>2020</v>
      </c>
      <c r="F71" s="808">
        <v>2025</v>
      </c>
      <c r="G71" s="808">
        <v>2030</v>
      </c>
      <c r="H71" s="323">
        <v>2035</v>
      </c>
      <c r="I71" s="323">
        <v>2040</v>
      </c>
      <c r="J71" s="323">
        <v>2045</v>
      </c>
      <c r="K71" s="323">
        <v>2050</v>
      </c>
    </row>
    <row r="72" spans="1:11" ht="26.4" x14ac:dyDescent="0.25">
      <c r="A72" s="807" t="s">
        <v>609</v>
      </c>
      <c r="B72" s="807" t="s">
        <v>65</v>
      </c>
      <c r="C72" s="807"/>
      <c r="D72" s="807">
        <v>342.87766249366251</v>
      </c>
      <c r="E72" s="807">
        <v>685.75532498732503</v>
      </c>
      <c r="F72" s="807">
        <v>1376.4593997425998</v>
      </c>
      <c r="G72" s="807">
        <v>2067.1634744978746</v>
      </c>
      <c r="H72" s="648">
        <v>1997.1740134940135</v>
      </c>
      <c r="I72" s="648">
        <v>1926.8310703638704</v>
      </c>
      <c r="J72" s="648">
        <v>1891.8363398619399</v>
      </c>
      <c r="K72" s="648">
        <v>1786.8521483561483</v>
      </c>
    </row>
    <row r="73" spans="1:11" ht="26.4" x14ac:dyDescent="0.25">
      <c r="A73" s="807" t="s">
        <v>610</v>
      </c>
      <c r="B73" s="807" t="s">
        <v>181</v>
      </c>
      <c r="C73" s="807"/>
      <c r="D73" s="807">
        <v>26.114732193672609</v>
      </c>
      <c r="E73" s="807">
        <v>64.671020617776989</v>
      </c>
      <c r="F73" s="807">
        <v>120.08234486012192</v>
      </c>
      <c r="G73" s="807">
        <v>167.57853990411039</v>
      </c>
      <c r="H73" s="648">
        <v>159.13334603311159</v>
      </c>
      <c r="I73" s="648">
        <v>155.8680635149573</v>
      </c>
      <c r="J73" s="648">
        <v>155.19528424969667</v>
      </c>
      <c r="K73" s="648">
        <v>149.30542035556047</v>
      </c>
    </row>
    <row r="74" spans="1:11" x14ac:dyDescent="0.25">
      <c r="A74" s="807" t="s">
        <v>736</v>
      </c>
      <c r="B74" s="807" t="s">
        <v>181</v>
      </c>
      <c r="C74" s="807"/>
      <c r="D74" s="807">
        <v>3.7722222222222221</v>
      </c>
      <c r="E74" s="807">
        <v>7.5444444444444452</v>
      </c>
      <c r="F74" s="807">
        <v>15.143333333333334</v>
      </c>
      <c r="G74" s="807">
        <v>22.742222222222221</v>
      </c>
      <c r="H74" s="648">
        <v>21.972222222222225</v>
      </c>
      <c r="I74" s="648">
        <v>21.198333333333334</v>
      </c>
      <c r="J74" s="648">
        <v>20.81333333333334</v>
      </c>
      <c r="K74" s="648">
        <v>19.658333333333335</v>
      </c>
    </row>
    <row r="75" spans="1:11" x14ac:dyDescent="0.25">
      <c r="A75" s="807" t="s">
        <v>590</v>
      </c>
      <c r="B75" s="807" t="s">
        <v>181</v>
      </c>
      <c r="C75" s="807"/>
      <c r="D75" s="807">
        <v>4.5805555555555557</v>
      </c>
      <c r="E75" s="807">
        <v>9.1611111111111114</v>
      </c>
      <c r="F75" s="807">
        <v>18.388333333333332</v>
      </c>
      <c r="G75" s="807">
        <v>27.615555555555552</v>
      </c>
      <c r="H75" s="648">
        <v>26.680555555555557</v>
      </c>
      <c r="I75" s="648">
        <v>25.740833333333335</v>
      </c>
      <c r="J75" s="648">
        <v>25.273333333333341</v>
      </c>
      <c r="K75" s="648">
        <v>23.870833333333334</v>
      </c>
    </row>
    <row r="76" spans="1:11" x14ac:dyDescent="0.25">
      <c r="A76" s="807" t="s">
        <v>737</v>
      </c>
      <c r="B76" s="807" t="s">
        <v>181</v>
      </c>
      <c r="C76" s="807"/>
      <c r="D76" s="807">
        <v>5.6583333333333332</v>
      </c>
      <c r="E76" s="807">
        <v>11.316666666666666</v>
      </c>
      <c r="F76" s="807">
        <v>22.714999999999996</v>
      </c>
      <c r="G76" s="807">
        <v>34.11333333333333</v>
      </c>
      <c r="H76" s="648">
        <v>32.958333333333336</v>
      </c>
      <c r="I76" s="648">
        <v>31.797499999999992</v>
      </c>
      <c r="J76" s="648">
        <v>31.220000000000006</v>
      </c>
      <c r="K76" s="648">
        <v>29.487499999999997</v>
      </c>
    </row>
    <row r="77" spans="1:11" x14ac:dyDescent="0.25">
      <c r="A77" s="807" t="s">
        <v>738</v>
      </c>
      <c r="B77" s="807" t="s">
        <v>181</v>
      </c>
      <c r="C77" s="807"/>
      <c r="D77" s="807">
        <v>3.7722222222222221</v>
      </c>
      <c r="E77" s="807">
        <v>7.5444444444444452</v>
      </c>
      <c r="F77" s="807">
        <v>15.143333333333334</v>
      </c>
      <c r="G77" s="807">
        <v>22.742222222222221</v>
      </c>
      <c r="H77" s="648">
        <v>21.972222222222225</v>
      </c>
      <c r="I77" s="648">
        <v>21.198333333333334</v>
      </c>
      <c r="J77" s="648">
        <v>20.81333333333334</v>
      </c>
      <c r="K77" s="648">
        <v>19.658333333333335</v>
      </c>
    </row>
    <row r="78" spans="1:11" x14ac:dyDescent="0.25">
      <c r="A78" s="807" t="s">
        <v>628</v>
      </c>
      <c r="B78" s="807" t="s">
        <v>181</v>
      </c>
      <c r="C78" s="807"/>
      <c r="D78" s="807">
        <v>3.5027777777777782</v>
      </c>
      <c r="E78" s="807">
        <v>7.0055555555555564</v>
      </c>
      <c r="F78" s="807">
        <v>14.061666666666666</v>
      </c>
      <c r="G78" s="807">
        <v>21.117777777777775</v>
      </c>
      <c r="H78" s="648">
        <v>20.402777777777779</v>
      </c>
      <c r="I78" s="648">
        <v>19.684166666666666</v>
      </c>
      <c r="J78" s="648">
        <v>19.326666666666672</v>
      </c>
      <c r="K78" s="648">
        <v>18.254166666666666</v>
      </c>
    </row>
    <row r="79" spans="1:11" x14ac:dyDescent="0.25">
      <c r="A79" s="807" t="s">
        <v>631</v>
      </c>
      <c r="B79" s="807" t="s">
        <v>181</v>
      </c>
      <c r="C79" s="807"/>
      <c r="D79" s="807">
        <v>4.8286210825614972</v>
      </c>
      <c r="E79" s="807">
        <v>22.098798395554766</v>
      </c>
      <c r="F79" s="807">
        <v>34.630678193455253</v>
      </c>
      <c r="G79" s="807">
        <v>39.247428792999273</v>
      </c>
      <c r="H79" s="648">
        <v>35.147234922000479</v>
      </c>
      <c r="I79" s="648">
        <v>36.248896848290642</v>
      </c>
      <c r="J79" s="648">
        <v>37.748617583029969</v>
      </c>
      <c r="K79" s="648">
        <v>38.376253688893811</v>
      </c>
    </row>
    <row r="80" spans="1:11" x14ac:dyDescent="0.25">
      <c r="A80" s="807" t="s">
        <v>597</v>
      </c>
      <c r="B80" s="807" t="s">
        <v>181</v>
      </c>
      <c r="C80" s="807"/>
      <c r="D80" s="807">
        <v>3.1667321936726038</v>
      </c>
      <c r="E80" s="807">
        <v>12.763446543702919</v>
      </c>
      <c r="F80" s="807">
        <v>18.098049519620123</v>
      </c>
      <c r="G80" s="807">
        <v>24.650964904110367</v>
      </c>
      <c r="H80" s="648">
        <v>26.923346033111578</v>
      </c>
      <c r="I80" s="648">
        <v>28.314663514957292</v>
      </c>
      <c r="J80" s="648">
        <v>29.958484249696664</v>
      </c>
      <c r="K80" s="648">
        <v>31.018420355560448</v>
      </c>
    </row>
    <row r="81" spans="1:11" ht="26.4" x14ac:dyDescent="0.25">
      <c r="A81" s="807" t="s">
        <v>592</v>
      </c>
      <c r="B81" s="807" t="s">
        <v>181</v>
      </c>
      <c r="C81" s="807"/>
      <c r="D81" s="807">
        <v>20.150133333333333</v>
      </c>
      <c r="E81" s="807">
        <v>47.016977777777768</v>
      </c>
      <c r="F81" s="807">
        <v>101.1142</v>
      </c>
      <c r="G81" s="807">
        <v>136.84320000000002</v>
      </c>
      <c r="H81" s="648">
        <v>132.21</v>
      </c>
      <c r="I81" s="648">
        <v>127.55340000000001</v>
      </c>
      <c r="J81" s="648">
        <v>125.23680000000002</v>
      </c>
      <c r="K81" s="648">
        <v>118.28700000000002</v>
      </c>
    </row>
    <row r="82" spans="1:11" x14ac:dyDescent="0.25">
      <c r="A82" s="807" t="s">
        <v>189</v>
      </c>
      <c r="B82" s="807" t="s">
        <v>181</v>
      </c>
      <c r="C82" s="807"/>
      <c r="D82" s="807">
        <v>118.40052885976574</v>
      </c>
      <c r="E82" s="807">
        <v>197.55371889838557</v>
      </c>
      <c r="F82" s="807">
        <v>110.63273021025641</v>
      </c>
      <c r="G82" s="807">
        <v>176.88757565551978</v>
      </c>
      <c r="H82" s="648">
        <v>87.990154845837282</v>
      </c>
      <c r="I82" s="648">
        <v>50.985605151841291</v>
      </c>
      <c r="J82" s="648">
        <v>50.202641994497363</v>
      </c>
      <c r="K82" s="648">
        <v>35.805515787286758</v>
      </c>
    </row>
    <row r="83" spans="1:11" x14ac:dyDescent="0.25">
      <c r="A83" s="807" t="s">
        <v>190</v>
      </c>
      <c r="B83" s="807" t="s">
        <v>181</v>
      </c>
      <c r="C83" s="807"/>
      <c r="D83" s="807">
        <v>22.097469407407406</v>
      </c>
      <c r="E83" s="807">
        <v>36.87008243727599</v>
      </c>
      <c r="F83" s="807">
        <v>20.647740299999995</v>
      </c>
      <c r="G83" s="807">
        <v>33.013094022813682</v>
      </c>
      <c r="H83" s="648">
        <v>16.421884037037035</v>
      </c>
      <c r="I83" s="648">
        <v>9.5156065679012336</v>
      </c>
      <c r="J83" s="648">
        <v>9.3694796495238108</v>
      </c>
      <c r="K83" s="648">
        <v>6.6824979359942489</v>
      </c>
    </row>
    <row r="84" spans="1:11" x14ac:dyDescent="0.25">
      <c r="A84" s="807" t="s">
        <v>192</v>
      </c>
      <c r="B84" s="807" t="s">
        <v>181</v>
      </c>
      <c r="C84" s="807"/>
      <c r="D84" s="807">
        <v>73.64434</v>
      </c>
      <c r="E84" s="807">
        <v>122.87709677419355</v>
      </c>
      <c r="F84" s="807">
        <v>68.812821</v>
      </c>
      <c r="G84" s="807">
        <v>110.0228933840304</v>
      </c>
      <c r="H84" s="648">
        <v>54.729289999999999</v>
      </c>
      <c r="I84" s="648">
        <v>31.712706666666662</v>
      </c>
      <c r="J84" s="648">
        <v>31.225708800000007</v>
      </c>
      <c r="K84" s="648">
        <v>22.270792233009718</v>
      </c>
    </row>
    <row r="85" spans="1:11" x14ac:dyDescent="0.25">
      <c r="A85" s="807" t="s">
        <v>193</v>
      </c>
      <c r="B85" s="807" t="s">
        <v>181</v>
      </c>
      <c r="C85" s="807"/>
      <c r="D85" s="807">
        <v>13.023148148148149</v>
      </c>
      <c r="E85" s="807">
        <v>21.729390681003583</v>
      </c>
      <c r="F85" s="807">
        <v>12.168749999999999</v>
      </c>
      <c r="G85" s="807">
        <v>19.456273764258555</v>
      </c>
      <c r="H85" s="648">
        <v>9.6782407407407405</v>
      </c>
      <c r="I85" s="648">
        <v>5.6080246913580236</v>
      </c>
      <c r="J85" s="648">
        <v>5.5219047619047625</v>
      </c>
      <c r="K85" s="648">
        <v>3.9383315354189161</v>
      </c>
    </row>
    <row r="86" spans="1:11" x14ac:dyDescent="0.25">
      <c r="A86" s="807" t="s">
        <v>194</v>
      </c>
      <c r="B86" s="807" t="s">
        <v>181</v>
      </c>
      <c r="C86" s="807"/>
      <c r="D86" s="807">
        <v>9.6355713042101936</v>
      </c>
      <c r="E86" s="807">
        <v>16.07714900591245</v>
      </c>
      <c r="F86" s="807">
        <v>9.0034189102564088</v>
      </c>
      <c r="G86" s="807">
        <v>14.395314484417144</v>
      </c>
      <c r="H86" s="648">
        <v>7.1607400680595115</v>
      </c>
      <c r="I86" s="648">
        <v>4.1492672259153736</v>
      </c>
      <c r="J86" s="648">
        <v>4.0855487830687833</v>
      </c>
      <c r="K86" s="648">
        <v>2.9138940828638793</v>
      </c>
    </row>
    <row r="87" spans="1:11" ht="26.4" x14ac:dyDescent="0.25">
      <c r="A87" s="807" t="s">
        <v>730</v>
      </c>
      <c r="B87" s="807" t="s">
        <v>181</v>
      </c>
      <c r="C87" s="807"/>
      <c r="D87" s="807">
        <v>3.1667321936726038</v>
      </c>
      <c r="E87" s="807">
        <v>12.763446543702919</v>
      </c>
      <c r="F87" s="807">
        <v>18.098049519620123</v>
      </c>
      <c r="G87" s="807">
        <v>24.650964904110367</v>
      </c>
      <c r="H87" s="648">
        <v>26.923346033111578</v>
      </c>
      <c r="I87" s="648">
        <v>28.314663514957292</v>
      </c>
      <c r="J87" s="648">
        <v>29.958484249696664</v>
      </c>
      <c r="K87" s="648">
        <v>31.018420355560448</v>
      </c>
    </row>
    <row r="88" spans="1:11" x14ac:dyDescent="0.25">
      <c r="A88" s="807" t="s">
        <v>594</v>
      </c>
      <c r="B88" s="807" t="s">
        <v>181</v>
      </c>
      <c r="C88" s="807"/>
      <c r="D88" s="807">
        <v>2.7978666666666721</v>
      </c>
      <c r="E88" s="807">
        <v>4.8905962962963052</v>
      </c>
      <c r="F88" s="807">
        <v>0.87009534050180548</v>
      </c>
      <c r="G88" s="807">
        <v>6.0843749999999996</v>
      </c>
      <c r="H88" s="648">
        <v>0</v>
      </c>
      <c r="I88" s="648">
        <v>0</v>
      </c>
      <c r="J88" s="648">
        <v>0</v>
      </c>
      <c r="K88" s="648">
        <v>0</v>
      </c>
    </row>
    <row r="89" spans="1:11" x14ac:dyDescent="0.25">
      <c r="A89" s="807" t="s">
        <v>195</v>
      </c>
      <c r="B89" s="807"/>
      <c r="C89" s="807"/>
      <c r="D89" s="807"/>
      <c r="E89" s="807"/>
      <c r="F89" s="807"/>
      <c r="G89" s="807"/>
      <c r="H89" s="648"/>
      <c r="I89" s="648"/>
      <c r="J89" s="648"/>
      <c r="K89" s="648"/>
    </row>
    <row r="90" spans="1:11" x14ac:dyDescent="0.25">
      <c r="A90" s="807" t="s">
        <v>595</v>
      </c>
      <c r="B90" s="807" t="s">
        <v>196</v>
      </c>
      <c r="C90" s="807"/>
      <c r="D90" s="807">
        <v>7728.5022889139964</v>
      </c>
      <c r="E90" s="807">
        <v>15457.004577827995</v>
      </c>
      <c r="F90" s="807">
        <v>31025.554549516597</v>
      </c>
      <c r="G90" s="807">
        <v>46594.104521205212</v>
      </c>
      <c r="H90" s="648">
        <v>45016.533950890807</v>
      </c>
      <c r="I90" s="648">
        <v>43430.995852443499</v>
      </c>
      <c r="J90" s="648">
        <v>42642.210567286311</v>
      </c>
      <c r="K90" s="648">
        <v>40275.854711814682</v>
      </c>
    </row>
    <row r="91" spans="1:11" x14ac:dyDescent="0.25">
      <c r="A91" s="807" t="s">
        <v>596</v>
      </c>
      <c r="B91" s="807" t="s">
        <v>65</v>
      </c>
      <c r="C91" s="807">
        <v>36</v>
      </c>
      <c r="D91" s="807">
        <v>1080</v>
      </c>
      <c r="E91" s="807">
        <v>5580</v>
      </c>
      <c r="F91" s="807">
        <v>7200</v>
      </c>
      <c r="G91" s="807">
        <v>9468</v>
      </c>
      <c r="H91" s="648">
        <v>10800</v>
      </c>
      <c r="I91" s="648">
        <v>11664</v>
      </c>
      <c r="J91" s="648">
        <v>12600</v>
      </c>
      <c r="K91" s="648">
        <v>13348.800000000001</v>
      </c>
    </row>
    <row r="92" spans="1:11" ht="26.4" x14ac:dyDescent="0.25">
      <c r="A92" s="807" t="s">
        <v>598</v>
      </c>
      <c r="B92" s="807" t="s">
        <v>718</v>
      </c>
      <c r="C92" s="807"/>
      <c r="D92" s="807">
        <v>17.46</v>
      </c>
      <c r="E92" s="807">
        <v>34.92</v>
      </c>
      <c r="F92" s="807">
        <v>70.091999999999999</v>
      </c>
      <c r="G92" s="807">
        <v>105.264</v>
      </c>
      <c r="H92" s="648">
        <v>101.7</v>
      </c>
      <c r="I92" s="648">
        <v>98.117999999999995</v>
      </c>
      <c r="J92" s="648">
        <v>96.335999999999999</v>
      </c>
      <c r="K92" s="648">
        <v>90.99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3"/>
  <sheetViews>
    <sheetView topLeftCell="E4" zoomScale="125" zoomScaleNormal="125" zoomScalePageLayoutView="125" workbookViewId="0">
      <selection sqref="A1:L1048576"/>
    </sheetView>
  </sheetViews>
  <sheetFormatPr defaultColWidth="11.5546875" defaultRowHeight="13.2" x14ac:dyDescent="0.25"/>
  <cols>
    <col min="2" max="2" width="32.109375" customWidth="1"/>
    <col min="4" max="4" width="6.6640625" customWidth="1"/>
    <col min="5" max="5" width="6.44140625" customWidth="1"/>
    <col min="6" max="6" width="7" customWidth="1"/>
    <col min="7" max="7" width="8" customWidth="1"/>
    <col min="8" max="8" width="7.44140625" customWidth="1"/>
    <col min="9" max="9" width="7.6640625" customWidth="1"/>
    <col min="10" max="12" width="7.109375" customWidth="1"/>
  </cols>
  <sheetData>
    <row r="1" spans="1:12" x14ac:dyDescent="0.25">
      <c r="B1" s="663" t="s">
        <v>1157</v>
      </c>
      <c r="C1" s="664" t="s">
        <v>143</v>
      </c>
      <c r="D1" s="665">
        <v>2010</v>
      </c>
      <c r="E1" s="665">
        <v>2015</v>
      </c>
      <c r="F1" s="665">
        <v>2020</v>
      </c>
      <c r="G1" s="665">
        <v>2025</v>
      </c>
      <c r="H1" s="665">
        <v>2030</v>
      </c>
      <c r="I1" s="665">
        <v>2035</v>
      </c>
      <c r="J1" s="665">
        <v>2040</v>
      </c>
      <c r="K1" s="665">
        <v>2045</v>
      </c>
      <c r="L1" s="666">
        <v>2050</v>
      </c>
    </row>
    <row r="2" spans="1:12" x14ac:dyDescent="0.25">
      <c r="B2" s="663" t="s">
        <v>1158</v>
      </c>
      <c r="C2" s="664" t="s">
        <v>1156</v>
      </c>
      <c r="D2" s="667">
        <v>0</v>
      </c>
      <c r="E2" s="667">
        <v>17.611111111111111</v>
      </c>
      <c r="F2" s="667">
        <v>35.222222222222221</v>
      </c>
      <c r="G2" s="667">
        <v>86</v>
      </c>
      <c r="H2" s="667">
        <v>136.77777777777777</v>
      </c>
      <c r="I2" s="667">
        <v>140.75</v>
      </c>
      <c r="J2" s="667">
        <v>144.75</v>
      </c>
      <c r="K2" s="667">
        <v>146.74999999999997</v>
      </c>
      <c r="L2" s="668">
        <v>152.75</v>
      </c>
    </row>
    <row r="3" spans="1:12" x14ac:dyDescent="0.25">
      <c r="B3" s="680" t="s">
        <v>1158</v>
      </c>
      <c r="C3" s="681" t="s">
        <v>147</v>
      </c>
      <c r="D3" s="682">
        <v>0</v>
      </c>
      <c r="E3" s="682">
        <v>176.11111111111111</v>
      </c>
      <c r="F3" s="682">
        <v>352.22222222222223</v>
      </c>
      <c r="G3" s="682">
        <v>860</v>
      </c>
      <c r="H3" s="682">
        <v>1367.7777777777778</v>
      </c>
      <c r="I3" s="682">
        <v>1407.5</v>
      </c>
      <c r="J3" s="682">
        <v>1447.5</v>
      </c>
      <c r="K3" s="682">
        <v>1467.4999999999998</v>
      </c>
      <c r="L3" s="683">
        <v>1527.5</v>
      </c>
    </row>
    <row r="4" spans="1:12" x14ac:dyDescent="0.25">
      <c r="B4" s="663" t="s">
        <v>1158</v>
      </c>
      <c r="C4" s="664" t="s">
        <v>65</v>
      </c>
      <c r="D4" s="669">
        <v>0</v>
      </c>
      <c r="E4" s="669">
        <v>634</v>
      </c>
      <c r="F4" s="669">
        <v>1268</v>
      </c>
      <c r="G4" s="669">
        <v>3096</v>
      </c>
      <c r="H4" s="669">
        <v>4924</v>
      </c>
      <c r="I4" s="669">
        <v>5067</v>
      </c>
      <c r="J4" s="669">
        <v>5211</v>
      </c>
      <c r="K4" s="669">
        <v>5282.9999999999991</v>
      </c>
      <c r="L4" s="670">
        <v>5499</v>
      </c>
    </row>
    <row r="5" spans="1:12" x14ac:dyDescent="0.25">
      <c r="B5" s="680" t="s">
        <v>1158</v>
      </c>
      <c r="C5" s="681" t="s">
        <v>16</v>
      </c>
      <c r="D5" s="684">
        <v>0</v>
      </c>
      <c r="E5" s="682">
        <v>15.142455999999999</v>
      </c>
      <c r="F5" s="682">
        <v>30.284911999999998</v>
      </c>
      <c r="G5" s="682">
        <v>73.944863999999995</v>
      </c>
      <c r="H5" s="682">
        <v>117.604816</v>
      </c>
      <c r="I5" s="682">
        <v>121.02022799999999</v>
      </c>
      <c r="J5" s="682">
        <v>124.45952399999999</v>
      </c>
      <c r="K5" s="682">
        <v>126.17917199999998</v>
      </c>
      <c r="L5" s="683">
        <v>131.33811599999999</v>
      </c>
    </row>
    <row r="6" spans="1:12" ht="26.4" x14ac:dyDescent="0.25">
      <c r="B6" s="663" t="s">
        <v>151</v>
      </c>
      <c r="C6" s="664" t="s">
        <v>65</v>
      </c>
      <c r="D6" s="669">
        <v>29886</v>
      </c>
      <c r="E6" s="669">
        <v>32627</v>
      </c>
      <c r="F6" s="669">
        <v>35367</v>
      </c>
      <c r="G6" s="669">
        <v>37280</v>
      </c>
      <c r="H6" s="669">
        <v>39193</v>
      </c>
      <c r="I6" s="669">
        <v>37979</v>
      </c>
      <c r="J6" s="669">
        <v>36766</v>
      </c>
      <c r="K6" s="669">
        <v>36159</v>
      </c>
      <c r="L6" s="670">
        <v>34339</v>
      </c>
    </row>
    <row r="7" spans="1:12" ht="26.4" x14ac:dyDescent="0.25">
      <c r="B7" s="663" t="s">
        <v>151</v>
      </c>
      <c r="C7" s="681" t="s">
        <v>16</v>
      </c>
      <c r="D7" s="681">
        <v>714</v>
      </c>
      <c r="E7" s="681">
        <v>779</v>
      </c>
      <c r="F7" s="681">
        <v>845</v>
      </c>
      <c r="G7" s="681">
        <v>890</v>
      </c>
      <c r="H7" s="681">
        <v>936</v>
      </c>
      <c r="I7" s="681">
        <v>907</v>
      </c>
      <c r="J7" s="681">
        <v>878</v>
      </c>
      <c r="K7" s="681">
        <v>864</v>
      </c>
      <c r="L7" s="685">
        <v>820</v>
      </c>
    </row>
    <row r="8" spans="1:12" ht="26.4" x14ac:dyDescent="0.25">
      <c r="B8" s="663" t="s">
        <v>153</v>
      </c>
      <c r="C8" s="664" t="s">
        <v>154</v>
      </c>
      <c r="D8" s="673">
        <v>0</v>
      </c>
      <c r="E8" s="674">
        <v>1.9431758972630029E-2</v>
      </c>
      <c r="F8" s="674">
        <v>3.5852630983685359E-2</v>
      </c>
      <c r="G8" s="674">
        <v>8.3047210300429178E-2</v>
      </c>
      <c r="H8" s="674">
        <v>0.12563467966218458</v>
      </c>
      <c r="I8" s="674">
        <v>0.13341583506674742</v>
      </c>
      <c r="J8" s="674">
        <v>0.14173421095577435</v>
      </c>
      <c r="K8" s="674">
        <v>0.14610470422301503</v>
      </c>
      <c r="L8" s="675">
        <v>0.16013861789801684</v>
      </c>
    </row>
    <row r="9" spans="1:12" x14ac:dyDescent="0.25">
      <c r="B9" s="680" t="s">
        <v>155</v>
      </c>
      <c r="C9" s="681" t="s">
        <v>65</v>
      </c>
      <c r="D9" s="682">
        <v>0</v>
      </c>
      <c r="E9" s="682">
        <v>0</v>
      </c>
      <c r="F9" s="682">
        <v>0</v>
      </c>
      <c r="G9" s="682">
        <v>0</v>
      </c>
      <c r="H9" s="682">
        <v>0</v>
      </c>
      <c r="I9" s="682">
        <v>0</v>
      </c>
      <c r="J9" s="682">
        <v>0</v>
      </c>
      <c r="K9" s="682">
        <v>0</v>
      </c>
      <c r="L9" s="683">
        <v>0</v>
      </c>
    </row>
    <row r="10" spans="1:12" x14ac:dyDescent="0.25">
      <c r="A10">
        <v>28.89</v>
      </c>
      <c r="B10" s="663" t="s">
        <v>157</v>
      </c>
      <c r="C10" s="664" t="s">
        <v>158</v>
      </c>
      <c r="D10" s="676">
        <v>28.89</v>
      </c>
      <c r="E10" s="676">
        <v>28.89</v>
      </c>
      <c r="F10" s="676">
        <v>28.89</v>
      </c>
      <c r="G10" s="676">
        <v>28.89</v>
      </c>
      <c r="H10" s="676">
        <v>28.89</v>
      </c>
      <c r="I10" s="676">
        <v>28.89</v>
      </c>
      <c r="J10" s="676">
        <v>28.89</v>
      </c>
      <c r="K10" s="676">
        <v>28.89</v>
      </c>
      <c r="L10" s="677">
        <v>28.89</v>
      </c>
    </row>
    <row r="11" spans="1:12" x14ac:dyDescent="0.25">
      <c r="A11" s="16">
        <v>17.31111111111111</v>
      </c>
      <c r="B11" s="680" t="s">
        <v>888</v>
      </c>
      <c r="C11" s="681" t="s">
        <v>158</v>
      </c>
      <c r="D11" s="686">
        <v>17.31111111111111</v>
      </c>
      <c r="E11" s="686">
        <v>17.31111111111111</v>
      </c>
      <c r="F11" s="686">
        <v>17.31111111111111</v>
      </c>
      <c r="G11" s="686">
        <v>17.31111111111111</v>
      </c>
      <c r="H11" s="686">
        <v>17.31111111111111</v>
      </c>
      <c r="I11" s="686">
        <v>17.31111111111111</v>
      </c>
      <c r="J11" s="686">
        <v>17.31111111111111</v>
      </c>
      <c r="K11" s="686">
        <v>17.31111111111111</v>
      </c>
      <c r="L11" s="687">
        <v>17.31111111111111</v>
      </c>
    </row>
    <row r="12" spans="1:12" x14ac:dyDescent="0.25">
      <c r="A12" s="16" t="s">
        <v>800</v>
      </c>
      <c r="B12" s="663" t="s">
        <v>889</v>
      </c>
      <c r="C12" s="664" t="s">
        <v>158</v>
      </c>
      <c r="D12" s="676">
        <v>17.31111111111111</v>
      </c>
      <c r="E12" s="678">
        <v>20.774164299905326</v>
      </c>
      <c r="F12" s="678">
        <v>24.236525016556214</v>
      </c>
      <c r="G12" s="678">
        <v>25.967705374881657</v>
      </c>
      <c r="H12" s="678">
        <v>28.891155646225847</v>
      </c>
      <c r="I12" s="678">
        <v>28.891155646225847</v>
      </c>
      <c r="J12" s="678">
        <v>28.891155646225847</v>
      </c>
      <c r="K12" s="678">
        <v>28.891155646225847</v>
      </c>
      <c r="L12" s="679">
        <v>28.891155646225847</v>
      </c>
    </row>
    <row r="13" spans="1:12" x14ac:dyDescent="0.25">
      <c r="B13" s="680" t="s">
        <v>805</v>
      </c>
      <c r="C13" s="681" t="s">
        <v>154</v>
      </c>
      <c r="D13" s="686"/>
      <c r="E13" s="688">
        <v>0.16669999999999999</v>
      </c>
      <c r="F13" s="688">
        <v>0.1428571428571429</v>
      </c>
      <c r="G13" s="688">
        <v>6.6666666666666652E-2</v>
      </c>
      <c r="H13" s="688">
        <v>0.10118841583016047</v>
      </c>
      <c r="I13" s="686"/>
      <c r="J13" s="686"/>
      <c r="K13" s="686"/>
      <c r="L13" s="687"/>
    </row>
    <row r="14" spans="1:12" ht="26.4" x14ac:dyDescent="0.25">
      <c r="B14" s="689" t="s">
        <v>891</v>
      </c>
      <c r="C14" s="690" t="s">
        <v>158</v>
      </c>
      <c r="D14" s="691">
        <v>0</v>
      </c>
      <c r="E14" s="691">
        <v>3.4630531887942162</v>
      </c>
      <c r="F14" s="691">
        <v>6.9254139054451045</v>
      </c>
      <c r="G14" s="691">
        <v>8.6565942637705469</v>
      </c>
      <c r="H14" s="691">
        <v>11.580044535114737</v>
      </c>
      <c r="I14" s="691">
        <v>11.580044535114737</v>
      </c>
      <c r="J14" s="691">
        <v>11.580044535114737</v>
      </c>
      <c r="K14" s="691">
        <v>11.580044535114737</v>
      </c>
      <c r="L14" s="692">
        <v>11.580044535114737</v>
      </c>
    </row>
    <row r="15" spans="1:12" x14ac:dyDescent="0.25">
      <c r="B15" s="680" t="s">
        <v>890</v>
      </c>
      <c r="C15" s="681" t="s">
        <v>166</v>
      </c>
      <c r="D15" s="686">
        <v>0</v>
      </c>
      <c r="E15" s="686">
        <v>1.1739750310012393</v>
      </c>
      <c r="F15" s="686">
        <v>4.6954306278917812</v>
      </c>
      <c r="G15" s="686">
        <v>18.67227382695307</v>
      </c>
      <c r="H15" s="686">
        <v>42.105041929677185</v>
      </c>
      <c r="I15" s="686">
        <v>40.020633913356534</v>
      </c>
      <c r="J15" s="686">
        <v>37.936225897035882</v>
      </c>
      <c r="K15" s="686">
        <v>36.894021888875557</v>
      </c>
      <c r="L15" s="687">
        <v>33.76740986439458</v>
      </c>
    </row>
    <row r="16" spans="1:12" ht="26.4" x14ac:dyDescent="0.25">
      <c r="B16" s="663" t="s">
        <v>164</v>
      </c>
      <c r="C16" s="664" t="s">
        <v>158</v>
      </c>
      <c r="D16" s="676">
        <v>0</v>
      </c>
      <c r="E16" s="676">
        <v>8.1158357000946744</v>
      </c>
      <c r="F16" s="676">
        <v>4.6534749834437861</v>
      </c>
      <c r="G16" s="676">
        <v>2.9222946251183437</v>
      </c>
      <c r="H16" s="676">
        <v>-1.1556462258468514E-3</v>
      </c>
      <c r="I16" s="676">
        <v>-1.1556462258468514E-3</v>
      </c>
      <c r="J16" s="676">
        <v>-1.1556462258468514E-3</v>
      </c>
      <c r="K16" s="676">
        <v>-1.1556462258468514E-3</v>
      </c>
      <c r="L16" s="677">
        <v>-1.1556462258468514E-3</v>
      </c>
    </row>
    <row r="17" spans="1:30" ht="26.4" x14ac:dyDescent="0.25">
      <c r="A17" s="18">
        <v>20.093470272233134</v>
      </c>
      <c r="B17" s="680" t="s">
        <v>165</v>
      </c>
      <c r="C17" s="681" t="s">
        <v>166</v>
      </c>
      <c r="D17" s="686">
        <v>0</v>
      </c>
      <c r="E17" s="686">
        <v>5.1454398338600242</v>
      </c>
      <c r="F17" s="686">
        <v>5.9006062790067206</v>
      </c>
      <c r="G17" s="686">
        <v>9.0474241593663915</v>
      </c>
      <c r="H17" s="686">
        <v>-5.6904020160698961E-3</v>
      </c>
      <c r="I17" s="686">
        <v>-5.8556594263659955E-3</v>
      </c>
      <c r="J17" s="686">
        <v>-6.0220724828879421E-3</v>
      </c>
      <c r="K17" s="686">
        <v>-6.1052790111489159E-3</v>
      </c>
      <c r="L17" s="687">
        <v>-6.3548985959318354E-3</v>
      </c>
    </row>
    <row r="18" spans="1:30" ht="26.4" x14ac:dyDescent="0.25">
      <c r="B18" s="663" t="s">
        <v>892</v>
      </c>
      <c r="C18" s="664" t="s">
        <v>166</v>
      </c>
      <c r="D18" s="676">
        <v>0</v>
      </c>
      <c r="E18" s="676">
        <v>18.316260000000003</v>
      </c>
      <c r="F18" s="676">
        <v>36.632520000000007</v>
      </c>
      <c r="G18" s="676">
        <v>89.443439999999995</v>
      </c>
      <c r="H18" s="676">
        <v>142.25436000000002</v>
      </c>
      <c r="I18" s="676">
        <v>146.38562999999999</v>
      </c>
      <c r="J18" s="676">
        <v>150.54579000000001</v>
      </c>
      <c r="K18" s="676">
        <v>152.62586999999999</v>
      </c>
      <c r="L18" s="677">
        <v>158.86611000000002</v>
      </c>
    </row>
    <row r="19" spans="1:30" x14ac:dyDescent="0.25">
      <c r="B19" s="680" t="s">
        <v>223</v>
      </c>
      <c r="C19" s="681" t="s">
        <v>166</v>
      </c>
      <c r="D19" s="686">
        <v>0</v>
      </c>
      <c r="E19" s="686">
        <v>12.8711195013784</v>
      </c>
      <c r="F19" s="686">
        <v>25.742239002756801</v>
      </c>
      <c r="G19" s="686">
        <v>62.853290183387266</v>
      </c>
      <c r="H19" s="686">
        <v>99.964341364017727</v>
      </c>
      <c r="I19" s="686">
        <v>102.86744875943904</v>
      </c>
      <c r="J19" s="686">
        <v>105.79085760517799</v>
      </c>
      <c r="K19" s="686">
        <v>107.25256202804744</v>
      </c>
      <c r="L19" s="687">
        <v>111.63767529665587</v>
      </c>
    </row>
    <row r="20" spans="1:30" ht="39.6" x14ac:dyDescent="0.25">
      <c r="B20" s="663" t="s">
        <v>175</v>
      </c>
      <c r="C20" s="664" t="s">
        <v>166</v>
      </c>
      <c r="D20" s="676">
        <v>0</v>
      </c>
      <c r="E20" s="676">
        <v>7.7256796675183761</v>
      </c>
      <c r="F20" s="676">
        <v>19.841632723750081</v>
      </c>
      <c r="G20" s="676">
        <v>53.805866024020872</v>
      </c>
      <c r="H20" s="676">
        <v>99.970031766033799</v>
      </c>
      <c r="I20" s="676">
        <v>102.8733044188654</v>
      </c>
      <c r="J20" s="676">
        <v>105.79687967766088</v>
      </c>
      <c r="K20" s="676">
        <v>107.25866730705859</v>
      </c>
      <c r="L20" s="677">
        <v>111.6440301952518</v>
      </c>
    </row>
    <row r="21" spans="1:30" ht="26.4" x14ac:dyDescent="0.25">
      <c r="B21" s="680" t="s">
        <v>177</v>
      </c>
      <c r="C21" s="681" t="s">
        <v>1159</v>
      </c>
      <c r="D21" s="698">
        <v>0</v>
      </c>
      <c r="E21" s="698">
        <v>6.2252130017463353E-2</v>
      </c>
      <c r="F21" s="698">
        <v>0.12450426003492671</v>
      </c>
      <c r="G21" s="698">
        <v>0.3039946286026286</v>
      </c>
      <c r="H21" s="698">
        <v>0.48348499717033055</v>
      </c>
      <c r="I21" s="698">
        <v>0.4975260927420927</v>
      </c>
      <c r="J21" s="698">
        <v>0.51166537779337784</v>
      </c>
      <c r="K21" s="698">
        <v>0.51873502031902019</v>
      </c>
      <c r="L21" s="699">
        <v>0.53994394789594791</v>
      </c>
    </row>
    <row r="22" spans="1:30" ht="26.4" x14ac:dyDescent="0.25">
      <c r="B22" s="663" t="s">
        <v>177</v>
      </c>
      <c r="C22" s="664" t="s">
        <v>179</v>
      </c>
      <c r="D22" s="695">
        <v>0</v>
      </c>
      <c r="E22" s="695">
        <v>0.22410766806286808</v>
      </c>
      <c r="F22" s="695">
        <v>0.44821533612573616</v>
      </c>
      <c r="G22" s="695">
        <v>1.094380662969463</v>
      </c>
      <c r="H22" s="695">
        <v>1.7405459898131899</v>
      </c>
      <c r="I22" s="695">
        <v>1.7910939338715339</v>
      </c>
      <c r="J22" s="695">
        <v>1.84199536005616</v>
      </c>
      <c r="K22" s="695">
        <v>1.8674460731484728</v>
      </c>
      <c r="L22" s="696">
        <v>1.9437982124254125</v>
      </c>
    </row>
    <row r="23" spans="1:30" ht="39.6" x14ac:dyDescent="0.25">
      <c r="A23">
        <v>0.65</v>
      </c>
      <c r="B23" s="680" t="s">
        <v>1161</v>
      </c>
      <c r="C23" s="681" t="s">
        <v>181</v>
      </c>
      <c r="D23" s="681">
        <v>0</v>
      </c>
      <c r="E23" s="686">
        <v>13.912777777777777</v>
      </c>
      <c r="F23" s="686">
        <v>27.825555555555553</v>
      </c>
      <c r="G23" s="686">
        <v>67.94</v>
      </c>
      <c r="H23" s="686">
        <v>108.05444444444446</v>
      </c>
      <c r="I23" s="686">
        <v>111.1925</v>
      </c>
      <c r="J23" s="686">
        <v>114.35249999999999</v>
      </c>
      <c r="K23" s="686">
        <v>115.93249999999999</v>
      </c>
      <c r="L23" s="687">
        <v>120.67250000000001</v>
      </c>
    </row>
    <row r="24" spans="1:30" x14ac:dyDescent="0.25">
      <c r="A24" s="84">
        <v>848392</v>
      </c>
      <c r="B24" s="663" t="s">
        <v>1160</v>
      </c>
      <c r="C24" s="664" t="s">
        <v>181</v>
      </c>
      <c r="D24" s="669">
        <v>0.84839200000000003</v>
      </c>
      <c r="E24" s="669">
        <v>14.941125777777778</v>
      </c>
      <c r="F24" s="669">
        <v>14.941125777777778</v>
      </c>
      <c r="G24" s="669">
        <v>43.07946044444445</v>
      </c>
      <c r="H24" s="669">
        <v>43.079460444444443</v>
      </c>
      <c r="I24" s="669">
        <v>3.3700015555555609</v>
      </c>
      <c r="J24" s="669">
        <v>3.3935680000000001</v>
      </c>
      <c r="K24" s="669">
        <v>1.6967839999999759</v>
      </c>
      <c r="L24" s="670">
        <v>5.0903520000000242</v>
      </c>
    </row>
    <row r="25" spans="1:30" x14ac:dyDescent="0.25">
      <c r="A25" s="84">
        <v>2827440</v>
      </c>
      <c r="B25" s="680" t="s">
        <v>1164</v>
      </c>
      <c r="C25" s="681" t="s">
        <v>181</v>
      </c>
      <c r="D25" s="682">
        <v>2.8274400000000002</v>
      </c>
      <c r="E25" s="682">
        <v>49.794359999999998</v>
      </c>
      <c r="F25" s="682">
        <v>49.794359999999998</v>
      </c>
      <c r="G25" s="682">
        <v>143.57112000000001</v>
      </c>
      <c r="H25" s="682">
        <v>143.57111999999998</v>
      </c>
      <c r="I25" s="682">
        <v>11.231220000000018</v>
      </c>
      <c r="J25" s="682">
        <v>11.309760000000001</v>
      </c>
      <c r="K25" s="682">
        <v>5.6548799999999195</v>
      </c>
      <c r="L25" s="683">
        <v>16.964640000000081</v>
      </c>
    </row>
    <row r="26" spans="1:30" x14ac:dyDescent="0.25">
      <c r="A26" s="84">
        <v>500000</v>
      </c>
      <c r="B26" s="663" t="s">
        <v>1162</v>
      </c>
      <c r="C26" s="664" t="s">
        <v>181</v>
      </c>
      <c r="D26" s="669">
        <v>0.5</v>
      </c>
      <c r="E26" s="669">
        <v>8.8055555555555554</v>
      </c>
      <c r="F26" s="669">
        <v>8.8055555555555554</v>
      </c>
      <c r="G26" s="669">
        <v>25.388888888888889</v>
      </c>
      <c r="H26" s="669">
        <v>25.388888888888886</v>
      </c>
      <c r="I26" s="669">
        <v>1.9861111111111143</v>
      </c>
      <c r="J26" s="669">
        <v>2</v>
      </c>
      <c r="K26" s="669">
        <v>0.99999999999998579</v>
      </c>
      <c r="L26" s="670">
        <v>3.0000000000000147</v>
      </c>
    </row>
    <row r="27" spans="1:30" x14ac:dyDescent="0.25">
      <c r="A27" s="16">
        <v>369940.17094017094</v>
      </c>
      <c r="B27" s="680" t="s">
        <v>1163</v>
      </c>
      <c r="C27" s="681" t="s">
        <v>181</v>
      </c>
      <c r="D27" s="682">
        <v>0.36994017094017095</v>
      </c>
      <c r="E27" s="682">
        <v>6.5150574548907878</v>
      </c>
      <c r="F27" s="682">
        <v>6.5150574548907878</v>
      </c>
      <c r="G27" s="682">
        <v>18.784739791073125</v>
      </c>
      <c r="H27" s="682">
        <v>18.784739791073122</v>
      </c>
      <c r="I27" s="682">
        <v>1.4694845679012369</v>
      </c>
      <c r="J27" s="682">
        <v>1.4797606837606838</v>
      </c>
      <c r="K27" s="682">
        <v>0.73988034188033136</v>
      </c>
      <c r="L27" s="683">
        <v>2.2196410256410362</v>
      </c>
    </row>
    <row r="28" spans="1:30" ht="39.6" x14ac:dyDescent="0.25">
      <c r="A28" s="645">
        <v>0.5</v>
      </c>
      <c r="B28" s="663" t="s">
        <v>992</v>
      </c>
      <c r="C28" s="664" t="s">
        <v>181</v>
      </c>
      <c r="D28" s="676">
        <v>0.25</v>
      </c>
      <c r="E28" s="676">
        <v>4.4027777777777777</v>
      </c>
      <c r="F28" s="676">
        <v>4.4027777777777777</v>
      </c>
      <c r="G28" s="676">
        <v>12.694444444444445</v>
      </c>
      <c r="H28" s="676">
        <v>6.3472222222222214</v>
      </c>
      <c r="I28" s="676">
        <v>0</v>
      </c>
      <c r="J28" s="676">
        <v>0</v>
      </c>
      <c r="K28" s="676">
        <v>0</v>
      </c>
      <c r="L28" s="677">
        <v>0</v>
      </c>
    </row>
    <row r="29" spans="1:30" x14ac:dyDescent="0.25">
      <c r="A29" s="18">
        <v>1255.5000030718379</v>
      </c>
      <c r="B29" s="680" t="s">
        <v>202</v>
      </c>
      <c r="C29" s="681" t="s">
        <v>1165</v>
      </c>
      <c r="D29" s="686">
        <v>0</v>
      </c>
      <c r="E29" s="686">
        <v>3.9</v>
      </c>
      <c r="F29" s="686">
        <v>7.7</v>
      </c>
      <c r="G29" s="686">
        <v>18.899999999999999</v>
      </c>
      <c r="H29" s="686">
        <v>30</v>
      </c>
      <c r="I29" s="686">
        <v>30.9</v>
      </c>
      <c r="J29" s="686">
        <v>31.8</v>
      </c>
      <c r="K29" s="686">
        <v>32.200000000000003</v>
      </c>
      <c r="L29" s="687">
        <v>33.5</v>
      </c>
      <c r="N29" s="18">
        <f>D29</f>
        <v>0</v>
      </c>
      <c r="O29" s="18">
        <f t="shared" ref="O29:Q29" si="0">E29</f>
        <v>3.9</v>
      </c>
      <c r="P29" s="18">
        <f t="shared" si="0"/>
        <v>7.7</v>
      </c>
      <c r="Q29" s="18">
        <f t="shared" si="0"/>
        <v>18.899999999999999</v>
      </c>
      <c r="R29" s="18">
        <f>H29</f>
        <v>30</v>
      </c>
      <c r="S29" s="18">
        <f t="shared" ref="S29" si="1">I29</f>
        <v>30.9</v>
      </c>
      <c r="T29" s="18">
        <f t="shared" ref="T29" si="2">J29</f>
        <v>31.8</v>
      </c>
      <c r="U29" s="18">
        <f t="shared" ref="U29:V29" si="3">K29</f>
        <v>32.200000000000003</v>
      </c>
      <c r="V29" s="18">
        <f t="shared" si="3"/>
        <v>33.5</v>
      </c>
      <c r="W29" s="18"/>
      <c r="X29" s="18"/>
      <c r="Y29" s="18"/>
      <c r="Z29" s="18"/>
      <c r="AA29" s="18"/>
      <c r="AB29" s="18"/>
      <c r="AC29" s="18"/>
      <c r="AD29" s="18"/>
    </row>
    <row r="30" spans="1:30" ht="26.4" x14ac:dyDescent="0.25">
      <c r="B30" s="663" t="s">
        <v>203</v>
      </c>
      <c r="C30" s="681" t="s">
        <v>1165</v>
      </c>
      <c r="D30" s="676">
        <v>0</v>
      </c>
      <c r="E30" s="676">
        <v>4.5999999999999996</v>
      </c>
      <c r="F30" s="676">
        <v>9.1</v>
      </c>
      <c r="G30" s="676">
        <v>22.3</v>
      </c>
      <c r="H30" s="676">
        <v>35.5</v>
      </c>
      <c r="I30" s="676">
        <v>36.5</v>
      </c>
      <c r="J30" s="676">
        <v>37.6</v>
      </c>
      <c r="K30" s="676">
        <v>38</v>
      </c>
      <c r="L30" s="677">
        <v>39.6</v>
      </c>
      <c r="N30">
        <v>1000</v>
      </c>
      <c r="O30">
        <v>1000</v>
      </c>
      <c r="P30">
        <v>1000</v>
      </c>
      <c r="Q30">
        <v>1000</v>
      </c>
      <c r="R30">
        <v>1000</v>
      </c>
      <c r="S30">
        <v>1000</v>
      </c>
      <c r="T30">
        <v>1000</v>
      </c>
      <c r="U30">
        <v>1000</v>
      </c>
      <c r="V30">
        <v>1000</v>
      </c>
    </row>
    <row r="31" spans="1:30" ht="26.4" x14ac:dyDescent="0.25">
      <c r="A31">
        <v>578.33999999999992</v>
      </c>
      <c r="B31" s="680" t="s">
        <v>204</v>
      </c>
      <c r="C31" s="681" t="s">
        <v>1165</v>
      </c>
      <c r="D31" s="686">
        <v>0</v>
      </c>
      <c r="E31" s="686">
        <v>1.2</v>
      </c>
      <c r="F31" s="686">
        <v>2.4</v>
      </c>
      <c r="G31" s="686">
        <v>5.8</v>
      </c>
      <c r="H31" s="686">
        <v>9.1999999999999993</v>
      </c>
      <c r="I31" s="686">
        <v>9.5</v>
      </c>
      <c r="J31" s="686">
        <v>9.8000000000000007</v>
      </c>
      <c r="K31" s="686">
        <v>9.9</v>
      </c>
      <c r="L31" s="687">
        <v>10.3</v>
      </c>
      <c r="N31" s="84">
        <f>N29/N30</f>
        <v>0</v>
      </c>
      <c r="O31" s="84">
        <f t="shared" ref="O31:V31" si="4">O29/O30</f>
        <v>3.8999999999999998E-3</v>
      </c>
      <c r="P31" s="84">
        <f t="shared" si="4"/>
        <v>7.7000000000000002E-3</v>
      </c>
      <c r="Q31" s="84">
        <f t="shared" si="4"/>
        <v>1.89E-2</v>
      </c>
      <c r="R31" s="84">
        <f t="shared" si="4"/>
        <v>0.03</v>
      </c>
      <c r="S31" s="84">
        <f t="shared" si="4"/>
        <v>3.0899999999999997E-2</v>
      </c>
      <c r="T31" s="84">
        <f t="shared" si="4"/>
        <v>3.1800000000000002E-2</v>
      </c>
      <c r="U31" s="84">
        <f t="shared" si="4"/>
        <v>3.2199999999999999E-2</v>
      </c>
      <c r="V31" s="84">
        <f t="shared" si="4"/>
        <v>3.3500000000000002E-2</v>
      </c>
    </row>
    <row r="32" spans="1:30" ht="26.4" x14ac:dyDescent="0.25">
      <c r="B32" s="663" t="s">
        <v>205</v>
      </c>
      <c r="C32" s="681" t="s">
        <v>1165</v>
      </c>
      <c r="D32" s="676">
        <v>0</v>
      </c>
      <c r="E32" s="676">
        <v>2.6</v>
      </c>
      <c r="F32" s="676">
        <v>5.0999999999999996</v>
      </c>
      <c r="G32" s="676">
        <v>12.5</v>
      </c>
      <c r="H32" s="676">
        <v>19.899999999999999</v>
      </c>
      <c r="I32" s="676">
        <v>20.5</v>
      </c>
      <c r="J32" s="676">
        <v>21</v>
      </c>
      <c r="K32" s="676">
        <v>21.3</v>
      </c>
      <c r="L32" s="677">
        <v>22.2</v>
      </c>
    </row>
    <row r="33" spans="1:14" ht="52.8" x14ac:dyDescent="0.25">
      <c r="A33" s="8">
        <v>6.7684022698502225E-2</v>
      </c>
      <c r="B33" s="680" t="s">
        <v>895</v>
      </c>
      <c r="C33" s="681" t="s">
        <v>166</v>
      </c>
      <c r="D33" s="684">
        <v>0</v>
      </c>
      <c r="E33" s="684">
        <v>1.7974809118611033</v>
      </c>
      <c r="F33" s="684">
        <v>3.5949618237222065</v>
      </c>
      <c r="G33" s="684">
        <v>8.7776039481419179</v>
      </c>
      <c r="H33" s="684">
        <v>13.960246072561629</v>
      </c>
      <c r="I33" s="684">
        <v>14.365671577918315</v>
      </c>
      <c r="J33" s="684">
        <v>14.7739322266691</v>
      </c>
      <c r="K33" s="684">
        <v>14.978062551044491</v>
      </c>
      <c r="L33" s="700">
        <v>15.590453524170675</v>
      </c>
      <c r="N33">
        <v>18</v>
      </c>
    </row>
    <row r="34" spans="1:14" ht="26.4" x14ac:dyDescent="0.25">
      <c r="A34" s="8">
        <v>3.4381139489194502E-2</v>
      </c>
      <c r="B34" s="663" t="s">
        <v>882</v>
      </c>
      <c r="C34" s="664" t="s">
        <v>166</v>
      </c>
      <c r="D34" s="676">
        <v>0</v>
      </c>
      <c r="E34" s="676">
        <v>0.60549006767081426</v>
      </c>
      <c r="F34" s="676">
        <v>1.2109801353416285</v>
      </c>
      <c r="G34" s="676">
        <v>2.956777996070727</v>
      </c>
      <c r="H34" s="676">
        <v>4.7025758567998253</v>
      </c>
      <c r="I34" s="676">
        <v>4.8391453831041265</v>
      </c>
      <c r="J34" s="676">
        <v>4.9766699410609041</v>
      </c>
      <c r="K34" s="676">
        <v>5.0454322200392925</v>
      </c>
      <c r="L34" s="677">
        <v>5.2517190569744603</v>
      </c>
      <c r="N34">
        <v>45</v>
      </c>
    </row>
    <row r="35" spans="1:14" ht="52.8" x14ac:dyDescent="0.25">
      <c r="A35">
        <v>18</v>
      </c>
      <c r="B35" s="680" t="s">
        <v>215</v>
      </c>
      <c r="C35" s="681" t="s">
        <v>1166</v>
      </c>
      <c r="D35" s="682">
        <v>0</v>
      </c>
      <c r="E35" s="682">
        <v>11.4</v>
      </c>
      <c r="F35" s="682">
        <v>22.8</v>
      </c>
      <c r="G35" s="682">
        <v>55.7</v>
      </c>
      <c r="H35" s="682">
        <v>88.6</v>
      </c>
      <c r="I35" s="682">
        <v>91.2</v>
      </c>
      <c r="J35" s="682">
        <v>93.8</v>
      </c>
      <c r="K35" s="682">
        <v>95.1</v>
      </c>
      <c r="L35" s="683">
        <v>99</v>
      </c>
      <c r="N35" s="67">
        <f>N33/N34</f>
        <v>0.4</v>
      </c>
    </row>
    <row r="36" spans="1:14" x14ac:dyDescent="0.25">
      <c r="A36" t="s">
        <v>7</v>
      </c>
      <c r="D36" t="s">
        <v>7</v>
      </c>
      <c r="E36" t="s">
        <v>800</v>
      </c>
    </row>
    <row r="38" spans="1:14" x14ac:dyDescent="0.25">
      <c r="C38" t="s">
        <v>143</v>
      </c>
      <c r="E38">
        <v>2015</v>
      </c>
      <c r="F38">
        <v>2020</v>
      </c>
      <c r="G38">
        <v>2025</v>
      </c>
      <c r="H38">
        <v>2030</v>
      </c>
      <c r="I38">
        <v>2035</v>
      </c>
      <c r="J38">
        <v>2040</v>
      </c>
      <c r="K38">
        <v>2045</v>
      </c>
      <c r="L38">
        <v>2050</v>
      </c>
    </row>
    <row r="39" spans="1:14" x14ac:dyDescent="0.25">
      <c r="B39" s="648" t="s">
        <v>609</v>
      </c>
      <c r="C39" s="648" t="s">
        <v>65</v>
      </c>
      <c r="D39" s="323"/>
      <c r="E39" s="323">
        <v>224.10766806286807</v>
      </c>
      <c r="F39" s="323">
        <v>448.21533612573614</v>
      </c>
      <c r="G39" s="323">
        <v>1094.3806629694629</v>
      </c>
      <c r="H39" s="323">
        <v>1740.5459898131899</v>
      </c>
      <c r="I39" s="323">
        <v>1791.0939338715339</v>
      </c>
      <c r="J39" s="323">
        <v>1841.9953600561601</v>
      </c>
      <c r="K39" s="323">
        <v>1867.4460731484728</v>
      </c>
      <c r="L39" s="323">
        <v>1943.7982124254124</v>
      </c>
    </row>
    <row r="40" spans="1:14" x14ac:dyDescent="0.25">
      <c r="B40" s="648" t="s">
        <v>610</v>
      </c>
      <c r="C40" s="648" t="s">
        <v>181</v>
      </c>
      <c r="D40" s="648"/>
      <c r="E40" s="648">
        <v>24.516518689638882</v>
      </c>
      <c r="F40" s="648">
        <v>44.630259601499986</v>
      </c>
      <c r="G40" s="648">
        <v>110.91548839258635</v>
      </c>
      <c r="H40" s="648">
        <v>162.56182829478382</v>
      </c>
      <c r="I40" s="648">
        <v>160.7513015779183</v>
      </c>
      <c r="J40" s="648">
        <v>165.31972222666911</v>
      </c>
      <c r="K40" s="648">
        <v>167.60393255104452</v>
      </c>
      <c r="L40" s="648">
        <v>174.45656352417066</v>
      </c>
    </row>
    <row r="41" spans="1:14" x14ac:dyDescent="0.25">
      <c r="B41" s="648" t="s">
        <v>736</v>
      </c>
      <c r="C41" s="648" t="s">
        <v>181</v>
      </c>
      <c r="D41" s="648"/>
      <c r="E41" s="648">
        <v>2.4655555555555559</v>
      </c>
      <c r="F41" s="648">
        <v>4.9311111111111119</v>
      </c>
      <c r="G41" s="648">
        <v>12.040000000000001</v>
      </c>
      <c r="H41" s="648">
        <v>19.148888888888891</v>
      </c>
      <c r="I41" s="648">
        <v>19.705000000000002</v>
      </c>
      <c r="J41" s="648">
        <v>20.265000000000001</v>
      </c>
      <c r="K41" s="648">
        <v>20.544999999999998</v>
      </c>
      <c r="L41" s="648">
        <v>21.385000000000002</v>
      </c>
    </row>
    <row r="42" spans="1:14" x14ac:dyDescent="0.25">
      <c r="B42" s="648" t="s">
        <v>590</v>
      </c>
      <c r="C42" s="648" t="s">
        <v>181</v>
      </c>
      <c r="D42" s="648"/>
      <c r="E42" s="648">
        <v>2.9938888888888888</v>
      </c>
      <c r="F42" s="648">
        <v>5.9877777777777776</v>
      </c>
      <c r="G42" s="648">
        <v>14.620000000000001</v>
      </c>
      <c r="H42" s="648">
        <v>23.252222222222223</v>
      </c>
      <c r="I42" s="648">
        <v>23.927500000000002</v>
      </c>
      <c r="J42" s="648">
        <v>24.607500000000002</v>
      </c>
      <c r="K42" s="648">
        <v>24.947499999999998</v>
      </c>
      <c r="L42" s="648">
        <v>25.967500000000001</v>
      </c>
    </row>
    <row r="43" spans="1:14" x14ac:dyDescent="0.25">
      <c r="B43" s="648" t="s">
        <v>737</v>
      </c>
      <c r="C43" s="648" t="s">
        <v>181</v>
      </c>
      <c r="D43" s="648"/>
      <c r="E43" s="648">
        <v>3.6983333333333333</v>
      </c>
      <c r="F43" s="648">
        <v>7.3966666666666665</v>
      </c>
      <c r="G43" s="648">
        <v>18.059999999999999</v>
      </c>
      <c r="H43" s="648">
        <v>28.723333333333333</v>
      </c>
      <c r="I43" s="648">
        <v>29.557499999999997</v>
      </c>
      <c r="J43" s="648">
        <v>30.397499999999997</v>
      </c>
      <c r="K43" s="648">
        <v>30.817499999999992</v>
      </c>
      <c r="L43" s="648">
        <v>32.077500000000001</v>
      </c>
    </row>
    <row r="44" spans="1:14" x14ac:dyDescent="0.25">
      <c r="B44" s="648" t="s">
        <v>738</v>
      </c>
      <c r="C44" s="648" t="s">
        <v>181</v>
      </c>
      <c r="D44" s="648"/>
      <c r="E44" s="648">
        <v>2.4655555555555559</v>
      </c>
      <c r="F44" s="648">
        <v>4.9311111111111119</v>
      </c>
      <c r="G44" s="648">
        <v>12.040000000000001</v>
      </c>
      <c r="H44" s="648">
        <v>19.148888888888891</v>
      </c>
      <c r="I44" s="648">
        <v>19.705000000000002</v>
      </c>
      <c r="J44" s="648">
        <v>20.265000000000001</v>
      </c>
      <c r="K44" s="648">
        <v>20.544999999999998</v>
      </c>
      <c r="L44" s="648">
        <v>21.385000000000002</v>
      </c>
    </row>
    <row r="45" spans="1:14" x14ac:dyDescent="0.25">
      <c r="B45" s="648" t="s">
        <v>628</v>
      </c>
      <c r="C45" s="648" t="s">
        <v>181</v>
      </c>
      <c r="D45" s="648"/>
      <c r="E45" s="648">
        <v>2.2894444444444444</v>
      </c>
      <c r="F45" s="648">
        <v>4.5788888888888888</v>
      </c>
      <c r="G45" s="648">
        <v>11.18</v>
      </c>
      <c r="H45" s="648">
        <v>17.781111111111112</v>
      </c>
      <c r="I45" s="648">
        <v>18.297499999999999</v>
      </c>
      <c r="J45" s="648">
        <v>18.817499999999999</v>
      </c>
      <c r="K45" s="648">
        <v>19.077499999999997</v>
      </c>
      <c r="L45" s="648">
        <v>19.857500000000002</v>
      </c>
    </row>
    <row r="46" spans="1:14" x14ac:dyDescent="0.25">
      <c r="B46" s="648" t="s">
        <v>631</v>
      </c>
      <c r="C46" s="648" t="s">
        <v>181</v>
      </c>
      <c r="D46" s="648"/>
      <c r="E46" s="648">
        <v>10.603740911861106</v>
      </c>
      <c r="F46" s="648">
        <v>16.804704045944433</v>
      </c>
      <c r="G46" s="648">
        <v>42.975488392586357</v>
      </c>
      <c r="H46" s="648">
        <v>54.507383850339366</v>
      </c>
      <c r="I46" s="648">
        <v>49.558801577918302</v>
      </c>
      <c r="J46" s="648">
        <v>50.967222226669122</v>
      </c>
      <c r="K46" s="648">
        <v>51.671432551044532</v>
      </c>
      <c r="L46" s="648">
        <v>53.784063524170648</v>
      </c>
    </row>
    <row r="47" spans="1:14" ht="26.4" x14ac:dyDescent="0.25">
      <c r="B47" s="648" t="s">
        <v>733</v>
      </c>
      <c r="C47" s="648" t="s">
        <v>181</v>
      </c>
      <c r="D47" s="648"/>
      <c r="E47" s="648">
        <v>1.7974809118611033</v>
      </c>
      <c r="F47" s="648">
        <v>3.5949618237222065</v>
      </c>
      <c r="G47" s="648">
        <v>8.7776039481419179</v>
      </c>
      <c r="H47" s="648">
        <v>13.960246072561629</v>
      </c>
      <c r="I47" s="648">
        <v>14.365671577918315</v>
      </c>
      <c r="J47" s="648">
        <v>14.7739322266691</v>
      </c>
      <c r="K47" s="648">
        <v>14.978062551044491</v>
      </c>
      <c r="L47" s="648">
        <v>15.590453524170675</v>
      </c>
    </row>
    <row r="48" spans="1:14" ht="26.4" x14ac:dyDescent="0.25">
      <c r="B48" s="648" t="s">
        <v>611</v>
      </c>
      <c r="C48" s="648" t="s">
        <v>181</v>
      </c>
      <c r="D48" s="648"/>
      <c r="E48" s="648">
        <v>13.170820166139976</v>
      </c>
      <c r="F48" s="648">
        <v>30.73191372099328</v>
      </c>
      <c r="G48" s="648">
        <v>80.396015840633609</v>
      </c>
      <c r="H48" s="648">
        <v>142.26005040201605</v>
      </c>
      <c r="I48" s="648">
        <v>146.39148565942637</v>
      </c>
      <c r="J48" s="648">
        <v>150.5518120724829</v>
      </c>
      <c r="K48" s="648">
        <v>152.63197527901116</v>
      </c>
      <c r="L48" s="648">
        <v>158.87246489859592</v>
      </c>
    </row>
    <row r="49" spans="1:12" x14ac:dyDescent="0.25">
      <c r="B49" s="648" t="s">
        <v>189</v>
      </c>
      <c r="C49" s="648" t="s">
        <v>181</v>
      </c>
      <c r="D49" s="648"/>
      <c r="E49" s="648">
        <v>80.056098788224119</v>
      </c>
      <c r="F49" s="648">
        <v>80.056098788224119</v>
      </c>
      <c r="G49" s="648">
        <v>230.82420912440648</v>
      </c>
      <c r="H49" s="648">
        <v>230.82420912440642</v>
      </c>
      <c r="I49" s="648">
        <v>18.05681723456793</v>
      </c>
      <c r="J49" s="648">
        <v>18.183088683760683</v>
      </c>
      <c r="K49" s="648">
        <v>9.0915443418802138</v>
      </c>
      <c r="L49" s="648">
        <v>27.274633025641155</v>
      </c>
    </row>
    <row r="50" spans="1:12" x14ac:dyDescent="0.25">
      <c r="B50" s="648" t="s">
        <v>190</v>
      </c>
      <c r="C50" s="648" t="s">
        <v>181</v>
      </c>
      <c r="D50" s="648"/>
      <c r="E50" s="648">
        <v>14.941125777777778</v>
      </c>
      <c r="F50" s="648">
        <v>14.941125777777778</v>
      </c>
      <c r="G50" s="648">
        <v>43.07946044444445</v>
      </c>
      <c r="H50" s="648">
        <v>43.079460444444443</v>
      </c>
      <c r="I50" s="648">
        <v>3.3700015555555609</v>
      </c>
      <c r="J50" s="648">
        <v>3.3935680000000001</v>
      </c>
      <c r="K50" s="648">
        <v>1.6967839999999759</v>
      </c>
      <c r="L50" s="648">
        <v>5.0903520000000242</v>
      </c>
    </row>
    <row r="51" spans="1:12" x14ac:dyDescent="0.25">
      <c r="B51" s="648" t="s">
        <v>192</v>
      </c>
      <c r="C51" s="648" t="s">
        <v>181</v>
      </c>
      <c r="D51" s="648"/>
      <c r="E51" s="648">
        <v>49.794359999999998</v>
      </c>
      <c r="F51" s="648">
        <v>49.794359999999998</v>
      </c>
      <c r="G51" s="648">
        <v>143.57112000000001</v>
      </c>
      <c r="H51" s="648">
        <v>143.57111999999998</v>
      </c>
      <c r="I51" s="648">
        <v>11.231220000000018</v>
      </c>
      <c r="J51" s="648">
        <v>11.309760000000001</v>
      </c>
      <c r="K51" s="648">
        <v>5.6548799999999195</v>
      </c>
      <c r="L51" s="648">
        <v>16.964640000000081</v>
      </c>
    </row>
    <row r="52" spans="1:12" x14ac:dyDescent="0.25">
      <c r="B52" s="648" t="s">
        <v>193</v>
      </c>
      <c r="C52" s="648" t="s">
        <v>181</v>
      </c>
      <c r="D52" s="648"/>
      <c r="E52" s="648">
        <v>8.8055555555555554</v>
      </c>
      <c r="F52" s="648">
        <v>8.8055555555555554</v>
      </c>
      <c r="G52" s="648">
        <v>25.388888888888889</v>
      </c>
      <c r="H52" s="648">
        <v>25.388888888888886</v>
      </c>
      <c r="I52" s="648">
        <v>1.9861111111111143</v>
      </c>
      <c r="J52" s="648">
        <v>2</v>
      </c>
      <c r="K52" s="648">
        <v>0.99999999999998579</v>
      </c>
      <c r="L52" s="648">
        <v>3.0000000000000147</v>
      </c>
    </row>
    <row r="53" spans="1:12" x14ac:dyDescent="0.25">
      <c r="B53" s="648" t="s">
        <v>194</v>
      </c>
      <c r="C53" s="648" t="s">
        <v>181</v>
      </c>
      <c r="D53" s="648"/>
      <c r="E53" s="648">
        <v>6.5150574548907878</v>
      </c>
      <c r="F53" s="648">
        <v>6.5150574548907878</v>
      </c>
      <c r="G53" s="648">
        <v>18.784739791073125</v>
      </c>
      <c r="H53" s="648">
        <v>18.784739791073122</v>
      </c>
      <c r="I53" s="648">
        <v>1.4694845679012369</v>
      </c>
      <c r="J53" s="648">
        <v>1.4797606837606838</v>
      </c>
      <c r="K53" s="648">
        <v>0.73988034188033136</v>
      </c>
      <c r="L53" s="648">
        <v>2.2196410256410362</v>
      </c>
    </row>
    <row r="54" spans="1:12" ht="26.4" x14ac:dyDescent="0.25">
      <c r="B54" s="648" t="s">
        <v>730</v>
      </c>
      <c r="C54" s="648" t="s">
        <v>181</v>
      </c>
      <c r="D54" s="648"/>
      <c r="E54" s="648">
        <v>1.7974809118611033</v>
      </c>
      <c r="F54" s="648">
        <v>3.5949618237222065</v>
      </c>
      <c r="G54" s="648">
        <v>8.7776039481419179</v>
      </c>
      <c r="H54" s="648">
        <v>13.960246072561629</v>
      </c>
      <c r="I54" s="648">
        <v>14.365671577918315</v>
      </c>
      <c r="J54" s="648">
        <v>14.7739322266691</v>
      </c>
      <c r="K54" s="648">
        <v>14.978062551044491</v>
      </c>
      <c r="L54" s="648">
        <v>15.590453524170675</v>
      </c>
    </row>
    <row r="55" spans="1:12" x14ac:dyDescent="0.25">
      <c r="B55" s="648" t="s">
        <v>594</v>
      </c>
      <c r="C55" s="648" t="s">
        <v>181</v>
      </c>
      <c r="D55" s="648"/>
      <c r="E55" s="648">
        <v>9.5482176116378028</v>
      </c>
      <c r="F55" s="648">
        <v>10.303384056784498</v>
      </c>
      <c r="G55" s="648">
        <v>21.741868603810836</v>
      </c>
      <c r="H55" s="648">
        <v>6.3415318202061517</v>
      </c>
      <c r="I55" s="648">
        <v>-5.8556594263659955E-3</v>
      </c>
      <c r="J55" s="648">
        <v>-6.0220724828879421E-3</v>
      </c>
      <c r="K55" s="648">
        <v>-6.1052790111489159E-3</v>
      </c>
      <c r="L55" s="648">
        <v>-6.3548985959318354E-3</v>
      </c>
    </row>
    <row r="56" spans="1:12" x14ac:dyDescent="0.25">
      <c r="B56" s="648" t="s">
        <v>195</v>
      </c>
      <c r="C56" s="648"/>
      <c r="D56" s="648"/>
      <c r="E56" s="648"/>
      <c r="F56" s="648"/>
      <c r="G56" s="648"/>
      <c r="H56" s="648"/>
      <c r="I56" s="648"/>
      <c r="J56" s="648"/>
      <c r="K56" s="648"/>
      <c r="L56" s="648"/>
    </row>
    <row r="57" spans="1:12" x14ac:dyDescent="0.25">
      <c r="B57" s="648" t="s">
        <v>595</v>
      </c>
      <c r="C57" s="648" t="s">
        <v>196</v>
      </c>
      <c r="D57" s="648"/>
      <c r="E57" s="323">
        <v>5051.412836259251</v>
      </c>
      <c r="F57" s="323">
        <v>10102.825672518502</v>
      </c>
      <c r="G57" s="323">
        <v>24667.467099461581</v>
      </c>
      <c r="H57" s="323">
        <v>39232.108526404656</v>
      </c>
      <c r="I57" s="323">
        <v>40371.465049409511</v>
      </c>
      <c r="J57" s="323">
        <v>41518.789100547256</v>
      </c>
      <c r="K57" s="323">
        <v>42092.451126116124</v>
      </c>
      <c r="L57" s="323">
        <v>43813.437202822752</v>
      </c>
    </row>
    <row r="58" spans="1:12" x14ac:dyDescent="0.25">
      <c r="B58" s="648" t="s">
        <v>596</v>
      </c>
      <c r="C58" s="648" t="s">
        <v>65</v>
      </c>
      <c r="D58" s="648">
        <v>36</v>
      </c>
      <c r="E58" s="648">
        <v>1080</v>
      </c>
      <c r="F58" s="648">
        <v>5580</v>
      </c>
      <c r="G58" s="648">
        <v>7200</v>
      </c>
      <c r="H58" s="648">
        <v>9468</v>
      </c>
      <c r="I58" s="648">
        <v>10800</v>
      </c>
      <c r="J58" s="648">
        <v>11664</v>
      </c>
      <c r="K58" s="648">
        <v>12600</v>
      </c>
      <c r="L58" s="648">
        <v>13348.800000000001</v>
      </c>
    </row>
    <row r="59" spans="1:12" x14ac:dyDescent="0.25">
      <c r="B59" s="648" t="s">
        <v>598</v>
      </c>
      <c r="C59" s="648" t="s">
        <v>718</v>
      </c>
      <c r="D59" s="648"/>
      <c r="E59" s="84">
        <v>11.412000000000001</v>
      </c>
      <c r="F59" s="84">
        <v>22.824000000000002</v>
      </c>
      <c r="G59" s="84">
        <v>55.728000000000002</v>
      </c>
      <c r="H59" s="84">
        <v>88.632000000000005</v>
      </c>
      <c r="I59" s="84">
        <v>91.206000000000003</v>
      </c>
      <c r="J59" s="84">
        <v>93.798000000000002</v>
      </c>
      <c r="K59" s="84">
        <v>95.09399999999998</v>
      </c>
      <c r="L59" s="84">
        <v>98.981999999999999</v>
      </c>
    </row>
    <row r="61" spans="1:12" x14ac:dyDescent="0.25">
      <c r="A61" t="s">
        <v>1151</v>
      </c>
    </row>
    <row r="62" spans="1:12" x14ac:dyDescent="0.25">
      <c r="B62" s="833" t="s">
        <v>1177</v>
      </c>
      <c r="C62" s="834" t="s">
        <v>78</v>
      </c>
      <c r="D62" s="834">
        <v>1</v>
      </c>
      <c r="E62" s="834">
        <v>30</v>
      </c>
      <c r="F62" s="834">
        <v>155</v>
      </c>
      <c r="G62" s="834">
        <v>200</v>
      </c>
      <c r="H62" s="834">
        <v>263</v>
      </c>
      <c r="I62" s="834">
        <v>300</v>
      </c>
      <c r="J62" s="834">
        <v>324</v>
      </c>
      <c r="K62" s="834">
        <v>350</v>
      </c>
      <c r="L62" s="835">
        <v>370.8</v>
      </c>
    </row>
    <row r="63" spans="1:12" x14ac:dyDescent="0.25">
      <c r="B63" s="38" t="s">
        <v>1177</v>
      </c>
      <c r="C63" s="660" t="s">
        <v>147</v>
      </c>
      <c r="D63" s="693">
        <v>10</v>
      </c>
      <c r="E63" s="693">
        <v>300</v>
      </c>
      <c r="F63" s="693">
        <v>1550</v>
      </c>
      <c r="G63" s="693">
        <v>2000</v>
      </c>
      <c r="H63" s="693">
        <v>2630</v>
      </c>
      <c r="I63" s="693">
        <v>3000</v>
      </c>
      <c r="J63" s="693">
        <v>3240</v>
      </c>
      <c r="K63" s="693">
        <v>3500</v>
      </c>
      <c r="L63" s="694">
        <v>3708</v>
      </c>
    </row>
    <row r="64" spans="1:12" x14ac:dyDescent="0.25">
      <c r="B64" s="836" t="s">
        <v>1177</v>
      </c>
      <c r="C64" s="837" t="s">
        <v>65</v>
      </c>
      <c r="D64" s="838">
        <v>36</v>
      </c>
      <c r="E64" s="838">
        <v>1080</v>
      </c>
      <c r="F64" s="838">
        <v>5580</v>
      </c>
      <c r="G64" s="838">
        <v>7200</v>
      </c>
      <c r="H64" s="838">
        <v>9468</v>
      </c>
      <c r="I64" s="838">
        <v>10800</v>
      </c>
      <c r="J64" s="838">
        <v>11664</v>
      </c>
      <c r="K64" s="838">
        <v>12600</v>
      </c>
      <c r="L64" s="839">
        <v>13349</v>
      </c>
    </row>
    <row r="65" spans="2:12" x14ac:dyDescent="0.25">
      <c r="B65" s="38" t="s">
        <v>1177</v>
      </c>
      <c r="C65" s="660" t="s">
        <v>16</v>
      </c>
      <c r="D65" s="840">
        <v>0.86</v>
      </c>
      <c r="E65" s="693">
        <v>26</v>
      </c>
      <c r="F65" s="693">
        <v>133</v>
      </c>
      <c r="G65" s="693">
        <v>172</v>
      </c>
      <c r="H65" s="693">
        <v>226</v>
      </c>
      <c r="I65" s="693">
        <v>258</v>
      </c>
      <c r="J65" s="693">
        <v>279</v>
      </c>
      <c r="K65" s="693">
        <v>301</v>
      </c>
      <c r="L65" s="694">
        <v>319</v>
      </c>
    </row>
    <row r="66" spans="2:12" ht="26.4" x14ac:dyDescent="0.25">
      <c r="B66" s="836" t="s">
        <v>1176</v>
      </c>
      <c r="C66" s="837" t="s">
        <v>154</v>
      </c>
      <c r="D66" s="841">
        <v>1</v>
      </c>
      <c r="E66" s="841">
        <v>0.9</v>
      </c>
      <c r="F66" s="841">
        <v>0.35</v>
      </c>
      <c r="G66" s="841">
        <v>0.54</v>
      </c>
      <c r="H66" s="841">
        <v>0.62</v>
      </c>
      <c r="I66" s="841">
        <v>0.52</v>
      </c>
      <c r="J66" s="841">
        <v>0.47</v>
      </c>
      <c r="K66" s="841">
        <v>0.42</v>
      </c>
      <c r="L66" s="842">
        <v>0.38</v>
      </c>
    </row>
    <row r="67" spans="2:12" x14ac:dyDescent="0.25">
      <c r="B67" s="38" t="s">
        <v>1179</v>
      </c>
      <c r="C67" s="660" t="s">
        <v>78</v>
      </c>
      <c r="D67" s="693">
        <v>1</v>
      </c>
      <c r="E67" s="693">
        <v>27</v>
      </c>
      <c r="F67" s="693">
        <v>54</v>
      </c>
      <c r="G67" s="693">
        <v>108</v>
      </c>
      <c r="H67" s="693">
        <v>162</v>
      </c>
      <c r="I67" s="693">
        <v>157</v>
      </c>
      <c r="J67" s="693">
        <v>151</v>
      </c>
      <c r="K67" s="693">
        <v>149</v>
      </c>
      <c r="L67" s="694">
        <v>140</v>
      </c>
    </row>
    <row r="68" spans="2:12" x14ac:dyDescent="0.25">
      <c r="B68" s="836" t="s">
        <v>1179</v>
      </c>
      <c r="C68" s="837" t="s">
        <v>65</v>
      </c>
      <c r="D68" s="843">
        <v>0</v>
      </c>
      <c r="E68" s="843">
        <v>970</v>
      </c>
      <c r="F68" s="843">
        <v>1940</v>
      </c>
      <c r="G68" s="843">
        <v>3894</v>
      </c>
      <c r="H68" s="843">
        <v>5848</v>
      </c>
      <c r="I68" s="843">
        <v>5650</v>
      </c>
      <c r="J68" s="843">
        <v>5451</v>
      </c>
      <c r="K68" s="843">
        <v>5352</v>
      </c>
      <c r="L68" s="844">
        <v>5055</v>
      </c>
    </row>
    <row r="69" spans="2:12" x14ac:dyDescent="0.25">
      <c r="B69" s="38" t="s">
        <v>1179</v>
      </c>
      <c r="C69" s="660" t="s">
        <v>16</v>
      </c>
      <c r="D69" s="661">
        <v>0</v>
      </c>
      <c r="E69" s="661">
        <v>23.2</v>
      </c>
      <c r="F69" s="661">
        <v>46.3</v>
      </c>
      <c r="G69" s="661">
        <v>93</v>
      </c>
      <c r="H69" s="661">
        <v>139.69999999999999</v>
      </c>
      <c r="I69" s="661">
        <v>134.9</v>
      </c>
      <c r="J69" s="661">
        <v>130.19999999999999</v>
      </c>
      <c r="K69" s="661">
        <v>127.8</v>
      </c>
      <c r="L69" s="662">
        <v>120.7</v>
      </c>
    </row>
    <row r="70" spans="2:12" ht="26.4" x14ac:dyDescent="0.25">
      <c r="B70" s="836" t="s">
        <v>151</v>
      </c>
      <c r="C70" s="837" t="s">
        <v>65</v>
      </c>
      <c r="D70" s="838">
        <v>29886</v>
      </c>
      <c r="E70" s="838">
        <v>30550</v>
      </c>
      <c r="F70" s="838">
        <v>31214</v>
      </c>
      <c r="G70" s="838">
        <v>29871</v>
      </c>
      <c r="H70" s="838">
        <v>28528</v>
      </c>
      <c r="I70" s="838">
        <v>25275</v>
      </c>
      <c r="J70" s="838">
        <v>22021</v>
      </c>
      <c r="K70" s="838">
        <v>20395</v>
      </c>
      <c r="L70" s="839">
        <v>15515</v>
      </c>
    </row>
    <row r="71" spans="2:12" ht="26.4" x14ac:dyDescent="0.25">
      <c r="B71" s="38" t="s">
        <v>151</v>
      </c>
      <c r="C71" s="660" t="s">
        <v>16</v>
      </c>
      <c r="D71" s="660">
        <v>714</v>
      </c>
      <c r="E71" s="660">
        <v>730</v>
      </c>
      <c r="F71" s="660">
        <v>746</v>
      </c>
      <c r="G71" s="660">
        <v>713</v>
      </c>
      <c r="H71" s="660">
        <v>681</v>
      </c>
      <c r="I71" s="660">
        <v>604</v>
      </c>
      <c r="J71" s="660">
        <v>526</v>
      </c>
      <c r="K71" s="660">
        <v>487</v>
      </c>
      <c r="L71" s="11">
        <v>371</v>
      </c>
    </row>
    <row r="72" spans="2:12" ht="26.4" x14ac:dyDescent="0.25">
      <c r="B72" s="845" t="s">
        <v>1189</v>
      </c>
      <c r="C72" s="846" t="s">
        <v>154</v>
      </c>
      <c r="D72" s="847">
        <v>0</v>
      </c>
      <c r="E72" s="847">
        <v>0.03</v>
      </c>
      <c r="F72" s="847">
        <v>0.06</v>
      </c>
      <c r="G72" s="847">
        <v>0.13</v>
      </c>
      <c r="H72" s="847">
        <v>0.2</v>
      </c>
      <c r="I72" s="847">
        <v>0.22</v>
      </c>
      <c r="J72" s="847">
        <v>0.25</v>
      </c>
      <c r="K72" s="847">
        <v>0.26</v>
      </c>
      <c r="L72" s="848">
        <v>0.33</v>
      </c>
    </row>
    <row r="73" spans="2:12" x14ac:dyDescent="0.25">
      <c r="B73" s="38" t="s">
        <v>1180</v>
      </c>
      <c r="C73" s="660" t="s">
        <v>78</v>
      </c>
      <c r="D73" s="693">
        <v>0</v>
      </c>
      <c r="E73" s="693">
        <v>3</v>
      </c>
      <c r="F73" s="693">
        <v>101</v>
      </c>
      <c r="G73" s="693">
        <v>92</v>
      </c>
      <c r="H73" s="693">
        <v>101</v>
      </c>
      <c r="I73" s="693">
        <v>143</v>
      </c>
      <c r="J73" s="693">
        <v>173</v>
      </c>
      <c r="K73" s="693">
        <v>201</v>
      </c>
      <c r="L73" s="694">
        <v>230</v>
      </c>
    </row>
    <row r="74" spans="2:12" x14ac:dyDescent="0.25">
      <c r="B74" s="836" t="s">
        <v>1180</v>
      </c>
      <c r="C74" s="837" t="s">
        <v>65</v>
      </c>
      <c r="D74" s="843">
        <v>36</v>
      </c>
      <c r="E74" s="843">
        <v>110</v>
      </c>
      <c r="F74" s="843">
        <v>3640</v>
      </c>
      <c r="G74" s="843">
        <v>3306</v>
      </c>
      <c r="H74" s="843">
        <v>3620</v>
      </c>
      <c r="I74" s="843">
        <v>5150</v>
      </c>
      <c r="J74" s="843">
        <v>6213</v>
      </c>
      <c r="K74" s="843">
        <v>7248</v>
      </c>
      <c r="L74" s="844">
        <v>8293.7999999999993</v>
      </c>
    </row>
    <row r="75" spans="2:12" x14ac:dyDescent="0.25">
      <c r="B75" s="38" t="s">
        <v>1180</v>
      </c>
      <c r="C75" s="660" t="s">
        <v>16</v>
      </c>
      <c r="D75" s="661">
        <v>0.9</v>
      </c>
      <c r="E75" s="661">
        <v>2.6</v>
      </c>
      <c r="F75" s="661">
        <v>86.9</v>
      </c>
      <c r="G75" s="661">
        <v>79</v>
      </c>
      <c r="H75" s="661">
        <v>86.5</v>
      </c>
      <c r="I75" s="661">
        <v>123</v>
      </c>
      <c r="J75" s="661">
        <v>148.4</v>
      </c>
      <c r="K75" s="661">
        <v>173.1</v>
      </c>
      <c r="L75" s="662">
        <v>198.1</v>
      </c>
    </row>
    <row r="76" spans="2:12" x14ac:dyDescent="0.25">
      <c r="B76" s="836" t="s">
        <v>1190</v>
      </c>
      <c r="C76" s="837" t="s">
        <v>154</v>
      </c>
      <c r="D76" s="841">
        <v>0</v>
      </c>
      <c r="E76" s="841">
        <v>0.1</v>
      </c>
      <c r="F76" s="841">
        <v>0.65</v>
      </c>
      <c r="G76" s="841">
        <v>0.46</v>
      </c>
      <c r="H76" s="841">
        <v>0.38</v>
      </c>
      <c r="I76" s="841">
        <v>0.48</v>
      </c>
      <c r="J76" s="841">
        <v>0.53</v>
      </c>
      <c r="K76" s="841">
        <v>0.57999999999999996</v>
      </c>
      <c r="L76" s="842">
        <v>0.62</v>
      </c>
    </row>
    <row r="77" spans="2:12" x14ac:dyDescent="0.25">
      <c r="B77" s="38" t="s">
        <v>157</v>
      </c>
      <c r="C77" s="660" t="s">
        <v>158</v>
      </c>
      <c r="D77" s="661">
        <v>28.9</v>
      </c>
      <c r="E77" s="661">
        <v>29.1</v>
      </c>
      <c r="F77" s="661">
        <v>29.4</v>
      </c>
      <c r="G77" s="661">
        <v>29.6</v>
      </c>
      <c r="H77" s="661">
        <v>30.4</v>
      </c>
      <c r="I77" s="661">
        <v>31.4</v>
      </c>
      <c r="J77" s="661">
        <v>32.4</v>
      </c>
      <c r="K77" s="661">
        <v>33.4</v>
      </c>
      <c r="L77" s="662">
        <v>34.5</v>
      </c>
    </row>
    <row r="78" spans="2:12" ht="26.4" x14ac:dyDescent="0.25">
      <c r="B78" s="836" t="s">
        <v>804</v>
      </c>
      <c r="C78" s="837" t="s">
        <v>158</v>
      </c>
      <c r="D78" s="843">
        <v>17.3</v>
      </c>
      <c r="E78" s="843">
        <v>21.1</v>
      </c>
      <c r="F78" s="843">
        <v>24.9</v>
      </c>
      <c r="G78" s="843">
        <v>26</v>
      </c>
      <c r="H78" s="843">
        <v>30.4</v>
      </c>
      <c r="I78" s="843">
        <v>31.4</v>
      </c>
      <c r="J78" s="843">
        <v>32.4</v>
      </c>
      <c r="K78" s="843">
        <v>33.4</v>
      </c>
      <c r="L78" s="844">
        <v>34.5</v>
      </c>
    </row>
    <row r="79" spans="2:12" ht="26.4" x14ac:dyDescent="0.25">
      <c r="B79" s="38" t="s">
        <v>947</v>
      </c>
      <c r="C79" s="660" t="s">
        <v>158</v>
      </c>
      <c r="D79" s="693">
        <v>0</v>
      </c>
      <c r="E79" s="693">
        <v>4</v>
      </c>
      <c r="F79" s="693">
        <v>7</v>
      </c>
      <c r="G79" s="693">
        <v>8</v>
      </c>
      <c r="H79" s="693">
        <v>12</v>
      </c>
      <c r="I79" s="693">
        <v>12</v>
      </c>
      <c r="J79" s="693">
        <v>12</v>
      </c>
      <c r="K79" s="693">
        <v>12</v>
      </c>
      <c r="L79" s="694">
        <v>12</v>
      </c>
    </row>
    <row r="80" spans="2:12" ht="26.4" x14ac:dyDescent="0.25">
      <c r="B80" s="836" t="s">
        <v>1181</v>
      </c>
      <c r="C80" s="837" t="s">
        <v>158</v>
      </c>
      <c r="D80" s="843">
        <v>11.6</v>
      </c>
      <c r="E80" s="843">
        <v>8.1</v>
      </c>
      <c r="F80" s="843">
        <v>4.5</v>
      </c>
      <c r="G80" s="843">
        <v>3.7</v>
      </c>
      <c r="H80" s="843">
        <v>0</v>
      </c>
      <c r="I80" s="843">
        <v>0</v>
      </c>
      <c r="J80" s="843">
        <v>0</v>
      </c>
      <c r="K80" s="843">
        <v>0</v>
      </c>
      <c r="L80" s="844">
        <v>0</v>
      </c>
    </row>
    <row r="81" spans="2:12" x14ac:dyDescent="0.25">
      <c r="B81" s="38" t="s">
        <v>890</v>
      </c>
      <c r="C81" s="660" t="s">
        <v>166</v>
      </c>
      <c r="D81" s="661">
        <v>0</v>
      </c>
      <c r="E81" s="661">
        <v>1.8</v>
      </c>
      <c r="F81" s="661">
        <v>7.4</v>
      </c>
      <c r="G81" s="661">
        <v>14.9</v>
      </c>
      <c r="H81" s="661">
        <v>31.7</v>
      </c>
      <c r="I81" s="661">
        <v>28.7</v>
      </c>
      <c r="J81" s="661">
        <v>25.8</v>
      </c>
      <c r="K81" s="661">
        <v>24.3</v>
      </c>
      <c r="L81" s="662">
        <v>19.8</v>
      </c>
    </row>
    <row r="82" spans="2:12" ht="26.4" x14ac:dyDescent="0.25">
      <c r="B82" s="836" t="s">
        <v>165</v>
      </c>
      <c r="C82" s="837" t="s">
        <v>166</v>
      </c>
      <c r="D82" s="838">
        <v>0</v>
      </c>
      <c r="E82" s="838">
        <v>8</v>
      </c>
      <c r="F82" s="838">
        <v>9</v>
      </c>
      <c r="G82" s="838">
        <v>14</v>
      </c>
      <c r="H82" s="843">
        <v>0</v>
      </c>
      <c r="I82" s="843">
        <v>0</v>
      </c>
      <c r="J82" s="843">
        <v>0</v>
      </c>
      <c r="K82" s="843">
        <v>0</v>
      </c>
      <c r="L82" s="844">
        <v>0</v>
      </c>
    </row>
    <row r="83" spans="2:12" x14ac:dyDescent="0.25">
      <c r="B83" s="38" t="s">
        <v>1182</v>
      </c>
      <c r="C83" s="660" t="s">
        <v>169</v>
      </c>
      <c r="D83" s="661">
        <v>0</v>
      </c>
      <c r="E83" s="661">
        <v>28.3</v>
      </c>
      <c r="F83" s="661">
        <v>57</v>
      </c>
      <c r="G83" s="661">
        <v>115.4</v>
      </c>
      <c r="H83" s="661">
        <v>177.6</v>
      </c>
      <c r="I83" s="661">
        <v>177.2</v>
      </c>
      <c r="J83" s="661">
        <v>176.4</v>
      </c>
      <c r="K83" s="661">
        <v>178.8</v>
      </c>
      <c r="L83" s="662">
        <v>174.2</v>
      </c>
    </row>
    <row r="84" spans="2:12" x14ac:dyDescent="0.25">
      <c r="B84" s="836" t="s">
        <v>1183</v>
      </c>
      <c r="C84" s="837" t="s">
        <v>169</v>
      </c>
      <c r="D84" s="843">
        <v>1</v>
      </c>
      <c r="E84" s="843">
        <v>3.2</v>
      </c>
      <c r="F84" s="843">
        <v>107</v>
      </c>
      <c r="G84" s="843">
        <v>98</v>
      </c>
      <c r="H84" s="843">
        <v>110</v>
      </c>
      <c r="I84" s="843">
        <v>161.6</v>
      </c>
      <c r="J84" s="843">
        <v>201.1</v>
      </c>
      <c r="K84" s="843">
        <v>242.2</v>
      </c>
      <c r="L84" s="844">
        <v>286</v>
      </c>
    </row>
    <row r="85" spans="2:12" x14ac:dyDescent="0.25">
      <c r="B85" s="38" t="s">
        <v>1184</v>
      </c>
      <c r="C85" s="660" t="s">
        <v>169</v>
      </c>
      <c r="D85" s="661">
        <v>1</v>
      </c>
      <c r="E85" s="661">
        <v>31.5</v>
      </c>
      <c r="F85" s="661">
        <v>164</v>
      </c>
      <c r="G85" s="661">
        <v>213.4</v>
      </c>
      <c r="H85" s="661">
        <v>287.60000000000002</v>
      </c>
      <c r="I85" s="661">
        <v>338.7</v>
      </c>
      <c r="J85" s="661">
        <v>377.6</v>
      </c>
      <c r="K85" s="661">
        <v>420.9</v>
      </c>
      <c r="L85" s="662">
        <v>460.2</v>
      </c>
    </row>
    <row r="86" spans="2:12" ht="26.4" x14ac:dyDescent="0.25">
      <c r="B86" s="38" t="s">
        <v>222</v>
      </c>
      <c r="C86" s="660" t="s">
        <v>169</v>
      </c>
      <c r="D86" s="840">
        <v>0.73</v>
      </c>
      <c r="E86" s="840">
        <v>0.73</v>
      </c>
      <c r="F86" s="840">
        <v>0.73</v>
      </c>
      <c r="G86" s="840">
        <v>0.73</v>
      </c>
      <c r="H86" s="840">
        <v>0.73</v>
      </c>
      <c r="I86" s="840">
        <v>0.73</v>
      </c>
      <c r="J86" s="840">
        <v>0.73</v>
      </c>
      <c r="K86" s="840">
        <v>0.73</v>
      </c>
      <c r="L86" s="849">
        <v>0.73</v>
      </c>
    </row>
    <row r="87" spans="2:12" x14ac:dyDescent="0.25">
      <c r="B87" s="38" t="s">
        <v>223</v>
      </c>
      <c r="C87" s="660" t="s">
        <v>166</v>
      </c>
      <c r="D87" s="661">
        <v>0.7</v>
      </c>
      <c r="E87" s="661">
        <v>21.9</v>
      </c>
      <c r="F87" s="661">
        <v>113.3</v>
      </c>
      <c r="G87" s="661">
        <v>146.19999999999999</v>
      </c>
      <c r="H87" s="661">
        <v>192.3</v>
      </c>
      <c r="I87" s="661">
        <v>219.3</v>
      </c>
      <c r="J87" s="661">
        <v>236.8</v>
      </c>
      <c r="K87" s="661">
        <v>255.9</v>
      </c>
      <c r="L87" s="662">
        <v>271.10000000000002</v>
      </c>
    </row>
    <row r="88" spans="2:12" ht="26.4" x14ac:dyDescent="0.25">
      <c r="B88" s="836" t="s">
        <v>177</v>
      </c>
      <c r="C88" s="837" t="s">
        <v>178</v>
      </c>
      <c r="D88" s="850">
        <v>4.0000000000000001E-3</v>
      </c>
      <c r="E88" s="850">
        <v>0.106</v>
      </c>
      <c r="F88" s="850">
        <v>0.54800000000000004</v>
      </c>
      <c r="G88" s="850">
        <v>0.70699999999999996</v>
      </c>
      <c r="H88" s="850">
        <v>0.93</v>
      </c>
      <c r="I88" s="850">
        <v>1.06</v>
      </c>
      <c r="J88" s="850">
        <v>1.145</v>
      </c>
      <c r="K88" s="850">
        <v>1.2370000000000001</v>
      </c>
      <c r="L88" s="851">
        <v>1.3109999999999999</v>
      </c>
    </row>
    <row r="89" spans="2:12" ht="26.4" x14ac:dyDescent="0.25">
      <c r="B89" s="38" t="s">
        <v>177</v>
      </c>
      <c r="C89" s="660" t="s">
        <v>179</v>
      </c>
      <c r="D89" s="852">
        <v>1.2999999999999999E-2</v>
      </c>
      <c r="E89" s="852">
        <v>0.38200000000000001</v>
      </c>
      <c r="F89" s="852">
        <v>1.972</v>
      </c>
      <c r="G89" s="852">
        <v>2.5449999999999999</v>
      </c>
      <c r="H89" s="852">
        <v>3.347</v>
      </c>
      <c r="I89" s="852">
        <v>3.8180000000000001</v>
      </c>
      <c r="J89" s="852">
        <v>4.1230000000000002</v>
      </c>
      <c r="K89" s="852">
        <v>4.4539999999999997</v>
      </c>
      <c r="L89" s="853">
        <v>4.7190000000000003</v>
      </c>
    </row>
    <row r="90" spans="2:12" ht="26.4" x14ac:dyDescent="0.25">
      <c r="B90" s="836" t="s">
        <v>723</v>
      </c>
      <c r="C90" s="837" t="s">
        <v>181</v>
      </c>
      <c r="D90" s="837">
        <v>0.79</v>
      </c>
      <c r="E90" s="838">
        <v>24</v>
      </c>
      <c r="F90" s="838">
        <v>122</v>
      </c>
      <c r="G90" s="838">
        <v>158</v>
      </c>
      <c r="H90" s="838">
        <v>208</v>
      </c>
      <c r="I90" s="838">
        <v>237</v>
      </c>
      <c r="J90" s="838">
        <v>256</v>
      </c>
      <c r="K90" s="838">
        <v>277</v>
      </c>
      <c r="L90" s="839">
        <v>293</v>
      </c>
    </row>
    <row r="91" spans="2:12" x14ac:dyDescent="0.25">
      <c r="B91" s="38" t="s">
        <v>736</v>
      </c>
      <c r="C91" s="660" t="s">
        <v>181</v>
      </c>
      <c r="D91" s="840">
        <v>0.14000000000000001</v>
      </c>
      <c r="E91" s="854">
        <v>4</v>
      </c>
      <c r="F91" s="854">
        <v>22</v>
      </c>
      <c r="G91" s="854">
        <v>28</v>
      </c>
      <c r="H91" s="854">
        <v>37</v>
      </c>
      <c r="I91" s="854">
        <v>42</v>
      </c>
      <c r="J91" s="854">
        <v>45</v>
      </c>
      <c r="K91" s="854">
        <v>49</v>
      </c>
      <c r="L91" s="855">
        <v>52</v>
      </c>
    </row>
    <row r="92" spans="2:12" x14ac:dyDescent="0.25">
      <c r="B92" s="836" t="s">
        <v>590</v>
      </c>
      <c r="C92" s="837" t="s">
        <v>181</v>
      </c>
      <c r="D92" s="856">
        <v>0.17</v>
      </c>
      <c r="E92" s="857">
        <v>5</v>
      </c>
      <c r="F92" s="857">
        <v>26</v>
      </c>
      <c r="G92" s="857">
        <v>34</v>
      </c>
      <c r="H92" s="857">
        <v>45</v>
      </c>
      <c r="I92" s="857">
        <v>51</v>
      </c>
      <c r="J92" s="857">
        <v>55</v>
      </c>
      <c r="K92" s="857">
        <v>60</v>
      </c>
      <c r="L92" s="858">
        <v>63</v>
      </c>
    </row>
    <row r="93" spans="2:12" x14ac:dyDescent="0.25">
      <c r="B93" s="38" t="s">
        <v>737</v>
      </c>
      <c r="C93" s="660" t="s">
        <v>181</v>
      </c>
      <c r="D93" s="840">
        <v>0.21</v>
      </c>
      <c r="E93" s="854">
        <v>6</v>
      </c>
      <c r="F93" s="854">
        <v>33</v>
      </c>
      <c r="G93" s="854">
        <v>42</v>
      </c>
      <c r="H93" s="854">
        <v>55</v>
      </c>
      <c r="I93" s="854">
        <v>63</v>
      </c>
      <c r="J93" s="854">
        <v>68</v>
      </c>
      <c r="K93" s="854">
        <v>74</v>
      </c>
      <c r="L93" s="855">
        <v>78</v>
      </c>
    </row>
    <row r="94" spans="2:12" x14ac:dyDescent="0.25">
      <c r="B94" s="836" t="s">
        <v>738</v>
      </c>
      <c r="C94" s="837" t="s">
        <v>181</v>
      </c>
      <c r="D94" s="856">
        <v>0.14000000000000001</v>
      </c>
      <c r="E94" s="857">
        <v>4</v>
      </c>
      <c r="F94" s="857">
        <v>22</v>
      </c>
      <c r="G94" s="857">
        <v>28</v>
      </c>
      <c r="H94" s="857">
        <v>37</v>
      </c>
      <c r="I94" s="857">
        <v>42</v>
      </c>
      <c r="J94" s="857">
        <v>45</v>
      </c>
      <c r="K94" s="857">
        <v>49</v>
      </c>
      <c r="L94" s="858">
        <v>52</v>
      </c>
    </row>
    <row r="95" spans="2:12" x14ac:dyDescent="0.25">
      <c r="B95" s="38" t="s">
        <v>735</v>
      </c>
      <c r="C95" s="660" t="s">
        <v>181</v>
      </c>
      <c r="D95" s="840">
        <v>0.13</v>
      </c>
      <c r="E95" s="854">
        <v>4</v>
      </c>
      <c r="F95" s="854">
        <v>20</v>
      </c>
      <c r="G95" s="854">
        <v>26</v>
      </c>
      <c r="H95" s="854">
        <v>34</v>
      </c>
      <c r="I95" s="854">
        <v>39</v>
      </c>
      <c r="J95" s="854">
        <v>42</v>
      </c>
      <c r="K95" s="854">
        <v>46</v>
      </c>
      <c r="L95" s="855">
        <v>48</v>
      </c>
    </row>
    <row r="96" spans="2:12" x14ac:dyDescent="0.25">
      <c r="B96" s="836" t="s">
        <v>1160</v>
      </c>
      <c r="C96" s="837" t="s">
        <v>181</v>
      </c>
      <c r="D96" s="838">
        <v>1</v>
      </c>
      <c r="E96" s="838">
        <v>25</v>
      </c>
      <c r="F96" s="838">
        <v>106</v>
      </c>
      <c r="G96" s="838">
        <v>38</v>
      </c>
      <c r="H96" s="838">
        <v>53</v>
      </c>
      <c r="I96" s="838">
        <v>31</v>
      </c>
      <c r="J96" s="838">
        <v>20</v>
      </c>
      <c r="K96" s="838">
        <v>22</v>
      </c>
      <c r="L96" s="839">
        <v>18</v>
      </c>
    </row>
    <row r="97" spans="2:12" x14ac:dyDescent="0.25">
      <c r="B97" s="38" t="s">
        <v>1164</v>
      </c>
      <c r="C97" s="660" t="s">
        <v>181</v>
      </c>
      <c r="D97" s="693">
        <v>3</v>
      </c>
      <c r="E97" s="693">
        <v>82</v>
      </c>
      <c r="F97" s="693">
        <v>353</v>
      </c>
      <c r="G97" s="693">
        <v>127</v>
      </c>
      <c r="H97" s="693">
        <v>178</v>
      </c>
      <c r="I97" s="693">
        <v>105</v>
      </c>
      <c r="J97" s="693">
        <v>68</v>
      </c>
      <c r="K97" s="693">
        <v>74</v>
      </c>
      <c r="L97" s="694">
        <v>59</v>
      </c>
    </row>
    <row r="98" spans="2:12" x14ac:dyDescent="0.25">
      <c r="B98" s="836" t="s">
        <v>1162</v>
      </c>
      <c r="C98" s="837" t="s">
        <v>181</v>
      </c>
      <c r="D98" s="838">
        <v>1</v>
      </c>
      <c r="E98" s="838">
        <v>15</v>
      </c>
      <c r="F98" s="838">
        <v>63</v>
      </c>
      <c r="G98" s="838">
        <v>23</v>
      </c>
      <c r="H98" s="838">
        <v>32</v>
      </c>
      <c r="I98" s="838">
        <v>19</v>
      </c>
      <c r="J98" s="838">
        <v>12</v>
      </c>
      <c r="K98" s="838">
        <v>13</v>
      </c>
      <c r="L98" s="839">
        <v>10</v>
      </c>
    </row>
    <row r="99" spans="2:12" x14ac:dyDescent="0.25">
      <c r="B99" s="38" t="s">
        <v>1163</v>
      </c>
      <c r="C99" s="660" t="s">
        <v>181</v>
      </c>
      <c r="D99" s="693">
        <v>0</v>
      </c>
      <c r="E99" s="693">
        <v>11</v>
      </c>
      <c r="F99" s="693">
        <v>46</v>
      </c>
      <c r="G99" s="693">
        <v>17</v>
      </c>
      <c r="H99" s="693">
        <v>23</v>
      </c>
      <c r="I99" s="693">
        <v>14</v>
      </c>
      <c r="J99" s="693">
        <v>9</v>
      </c>
      <c r="K99" s="693">
        <v>10</v>
      </c>
      <c r="L99" s="694">
        <v>8</v>
      </c>
    </row>
    <row r="100" spans="2:12" x14ac:dyDescent="0.25">
      <c r="B100" s="836" t="s">
        <v>1191</v>
      </c>
      <c r="C100" s="837" t="s">
        <v>181</v>
      </c>
      <c r="D100" s="837"/>
      <c r="E100" s="859">
        <v>2.8</v>
      </c>
      <c r="F100" s="859">
        <v>12.1</v>
      </c>
      <c r="G100" s="856">
        <v>4.3600000000000003</v>
      </c>
      <c r="H100" s="856" t="s">
        <v>800</v>
      </c>
      <c r="I100" s="837"/>
      <c r="J100" s="837"/>
      <c r="K100" s="837"/>
      <c r="L100" s="860"/>
    </row>
    <row r="101" spans="2:12" x14ac:dyDescent="0.25">
      <c r="B101" s="38" t="s">
        <v>1185</v>
      </c>
      <c r="C101" s="660" t="s">
        <v>166</v>
      </c>
      <c r="D101" s="661">
        <v>0.1</v>
      </c>
      <c r="E101" s="661">
        <v>3.1</v>
      </c>
      <c r="F101" s="661">
        <v>15.8</v>
      </c>
      <c r="G101" s="661">
        <v>20.399999999999999</v>
      </c>
      <c r="H101" s="661">
        <v>26.8</v>
      </c>
      <c r="I101" s="661">
        <v>30.6</v>
      </c>
      <c r="J101" s="661">
        <v>33.1</v>
      </c>
      <c r="K101" s="661">
        <v>35.700000000000003</v>
      </c>
      <c r="L101" s="662">
        <v>37.799999999999997</v>
      </c>
    </row>
    <row r="102" spans="2:12" x14ac:dyDescent="0.25">
      <c r="B102" s="836" t="s">
        <v>1186</v>
      </c>
      <c r="C102" s="837" t="s">
        <v>166</v>
      </c>
      <c r="D102" s="843">
        <v>0.1</v>
      </c>
      <c r="E102" s="843">
        <v>2</v>
      </c>
      <c r="F102" s="843">
        <v>10.5</v>
      </c>
      <c r="G102" s="843">
        <v>13.5</v>
      </c>
      <c r="H102" s="843">
        <v>17.8</v>
      </c>
      <c r="I102" s="843">
        <v>20.3</v>
      </c>
      <c r="J102" s="843">
        <v>21.9</v>
      </c>
      <c r="K102" s="843">
        <v>23.7</v>
      </c>
      <c r="L102" s="844">
        <v>25.1</v>
      </c>
    </row>
    <row r="103" spans="2:12" x14ac:dyDescent="0.25">
      <c r="B103" s="38" t="s">
        <v>1187</v>
      </c>
      <c r="C103" s="660" t="s">
        <v>166</v>
      </c>
      <c r="D103" s="661">
        <v>0</v>
      </c>
      <c r="E103" s="661">
        <v>1</v>
      </c>
      <c r="F103" s="661">
        <v>5.3</v>
      </c>
      <c r="G103" s="661">
        <v>6.9</v>
      </c>
      <c r="H103" s="661">
        <v>9</v>
      </c>
      <c r="I103" s="661">
        <v>10.3</v>
      </c>
      <c r="J103" s="661">
        <v>11.1</v>
      </c>
      <c r="K103" s="661">
        <v>12</v>
      </c>
      <c r="L103" s="662">
        <v>12.7</v>
      </c>
    </row>
    <row r="104" spans="2:12" ht="26.4" x14ac:dyDescent="0.25">
      <c r="B104" s="836" t="s">
        <v>1188</v>
      </c>
      <c r="C104" s="837" t="s">
        <v>214</v>
      </c>
      <c r="D104" s="838">
        <v>648</v>
      </c>
      <c r="E104" s="838">
        <v>19440</v>
      </c>
      <c r="F104" s="838">
        <v>100440</v>
      </c>
      <c r="G104" s="838">
        <v>129600</v>
      </c>
      <c r="H104" s="838">
        <v>170424</v>
      </c>
      <c r="I104" s="838">
        <v>194400</v>
      </c>
      <c r="J104" s="838">
        <v>209952</v>
      </c>
      <c r="K104" s="838">
        <v>226800</v>
      </c>
      <c r="L104" s="839">
        <v>240278</v>
      </c>
    </row>
    <row r="105" spans="2:12" x14ac:dyDescent="0.25">
      <c r="B105" s="861"/>
      <c r="C105" s="11"/>
      <c r="D105" s="11"/>
      <c r="E105" s="11"/>
      <c r="F105" s="11"/>
      <c r="G105" s="11"/>
      <c r="H105" s="11"/>
    </row>
    <row r="106" spans="2:12" x14ac:dyDescent="0.25">
      <c r="B106" s="861" t="s">
        <v>722</v>
      </c>
      <c r="C106" s="11"/>
      <c r="D106" s="11"/>
      <c r="E106" s="862">
        <v>39</v>
      </c>
      <c r="F106" s="862">
        <v>167.1</v>
      </c>
      <c r="G106" s="862">
        <v>207.5</v>
      </c>
      <c r="H106" s="862">
        <v>248.4</v>
      </c>
      <c r="I106" s="648">
        <v>283.3</v>
      </c>
      <c r="J106" s="648">
        <v>306</v>
      </c>
      <c r="K106" s="648">
        <v>330.6</v>
      </c>
      <c r="L106" s="648">
        <v>350.2</v>
      </c>
    </row>
    <row r="107" spans="2:12" x14ac:dyDescent="0.25">
      <c r="B107" s="861"/>
      <c r="C107" s="11" t="s">
        <v>143</v>
      </c>
      <c r="D107" s="11"/>
      <c r="E107" s="11">
        <v>2015</v>
      </c>
      <c r="F107" s="11">
        <v>2020</v>
      </c>
      <c r="G107" s="11">
        <v>2025</v>
      </c>
      <c r="H107" s="11">
        <v>2030</v>
      </c>
      <c r="I107">
        <v>2035</v>
      </c>
      <c r="J107">
        <v>2040</v>
      </c>
      <c r="K107">
        <v>2045</v>
      </c>
      <c r="L107">
        <v>2050</v>
      </c>
    </row>
    <row r="108" spans="2:12" x14ac:dyDescent="0.25">
      <c r="B108" s="863" t="s">
        <v>609</v>
      </c>
      <c r="C108" s="862" t="s">
        <v>65</v>
      </c>
      <c r="D108" s="855"/>
      <c r="E108" s="855">
        <v>382</v>
      </c>
      <c r="F108" s="855">
        <v>1972</v>
      </c>
      <c r="G108" s="855">
        <v>2545</v>
      </c>
      <c r="H108" s="855">
        <v>3347</v>
      </c>
      <c r="I108" s="323">
        <v>3818</v>
      </c>
      <c r="J108" s="323">
        <v>4123</v>
      </c>
      <c r="K108" s="323">
        <v>4454</v>
      </c>
      <c r="L108" s="323">
        <v>4719</v>
      </c>
    </row>
    <row r="109" spans="2:12" x14ac:dyDescent="0.25">
      <c r="B109" s="863" t="s">
        <v>610</v>
      </c>
      <c r="C109" s="862" t="s">
        <v>181</v>
      </c>
      <c r="D109" s="862"/>
      <c r="E109" s="862">
        <v>39</v>
      </c>
      <c r="F109" s="862">
        <v>167.1</v>
      </c>
      <c r="G109" s="862">
        <v>207.5</v>
      </c>
      <c r="H109" s="862">
        <v>248.4</v>
      </c>
      <c r="I109" s="648">
        <v>283.3</v>
      </c>
      <c r="J109" s="648">
        <v>306</v>
      </c>
      <c r="K109" s="648">
        <v>330.6</v>
      </c>
      <c r="L109" s="648">
        <v>350.2</v>
      </c>
    </row>
    <row r="110" spans="2:12" x14ac:dyDescent="0.25">
      <c r="B110" s="863" t="s">
        <v>736</v>
      </c>
      <c r="C110" s="862" t="s">
        <v>181</v>
      </c>
      <c r="D110" s="862"/>
      <c r="E110" s="862">
        <v>4.2</v>
      </c>
      <c r="F110" s="862">
        <v>21.7</v>
      </c>
      <c r="G110" s="862">
        <v>28</v>
      </c>
      <c r="H110" s="862">
        <v>36.799999999999997</v>
      </c>
      <c r="I110" s="648">
        <v>42</v>
      </c>
      <c r="J110" s="648">
        <v>45.4</v>
      </c>
      <c r="K110" s="648">
        <v>49</v>
      </c>
      <c r="L110" s="648">
        <v>51.9</v>
      </c>
    </row>
    <row r="111" spans="2:12" x14ac:dyDescent="0.25">
      <c r="B111" s="863" t="s">
        <v>590</v>
      </c>
      <c r="C111" s="862" t="s">
        <v>181</v>
      </c>
      <c r="D111" s="862"/>
      <c r="E111" s="862">
        <v>5.0999999999999996</v>
      </c>
      <c r="F111" s="862">
        <v>26.4</v>
      </c>
      <c r="G111" s="862">
        <v>34</v>
      </c>
      <c r="H111" s="862">
        <v>44.7</v>
      </c>
      <c r="I111" s="648">
        <v>51</v>
      </c>
      <c r="J111" s="648">
        <v>55.1</v>
      </c>
      <c r="K111" s="648">
        <v>59.5</v>
      </c>
      <c r="L111" s="648">
        <v>63</v>
      </c>
    </row>
    <row r="112" spans="2:12" x14ac:dyDescent="0.25">
      <c r="B112" s="863" t="s">
        <v>737</v>
      </c>
      <c r="C112" s="862" t="s">
        <v>181</v>
      </c>
      <c r="D112" s="862"/>
      <c r="E112" s="862">
        <v>6.3</v>
      </c>
      <c r="F112" s="862">
        <v>32.6</v>
      </c>
      <c r="G112" s="862">
        <v>42</v>
      </c>
      <c r="H112" s="862">
        <v>55.2</v>
      </c>
      <c r="I112" s="648">
        <v>63</v>
      </c>
      <c r="J112" s="648">
        <v>68</v>
      </c>
      <c r="K112" s="648">
        <v>73.5</v>
      </c>
      <c r="L112" s="648">
        <v>77.900000000000006</v>
      </c>
    </row>
    <row r="113" spans="2:12" x14ac:dyDescent="0.25">
      <c r="B113" s="863" t="s">
        <v>738</v>
      </c>
      <c r="C113" s="862" t="s">
        <v>181</v>
      </c>
      <c r="D113" s="862"/>
      <c r="E113" s="862">
        <v>4.2</v>
      </c>
      <c r="F113" s="862">
        <v>21.7</v>
      </c>
      <c r="G113" s="862">
        <v>28</v>
      </c>
      <c r="H113" s="862">
        <v>36.799999999999997</v>
      </c>
      <c r="I113" s="648">
        <v>42</v>
      </c>
      <c r="J113" s="648">
        <v>45.4</v>
      </c>
      <c r="K113" s="648">
        <v>49</v>
      </c>
      <c r="L113" s="648">
        <v>51.9</v>
      </c>
    </row>
    <row r="114" spans="2:12" x14ac:dyDescent="0.25">
      <c r="B114" s="863" t="s">
        <v>628</v>
      </c>
      <c r="C114" s="862" t="s">
        <v>181</v>
      </c>
      <c r="D114" s="862"/>
      <c r="E114" s="862">
        <v>3.9</v>
      </c>
      <c r="F114" s="862">
        <v>20.2</v>
      </c>
      <c r="G114" s="862">
        <v>26</v>
      </c>
      <c r="H114" s="862">
        <v>34.200000000000003</v>
      </c>
      <c r="I114" s="648">
        <v>39</v>
      </c>
      <c r="J114" s="648">
        <v>42.1</v>
      </c>
      <c r="K114" s="648">
        <v>45.5</v>
      </c>
      <c r="L114" s="648">
        <v>48.2</v>
      </c>
    </row>
    <row r="115" spans="2:12" x14ac:dyDescent="0.25">
      <c r="B115" s="863" t="s">
        <v>631</v>
      </c>
      <c r="C115" s="862" t="s">
        <v>181</v>
      </c>
      <c r="D115" s="862"/>
      <c r="E115" s="862">
        <v>15.3</v>
      </c>
      <c r="F115" s="862">
        <v>44.7</v>
      </c>
      <c r="G115" s="862">
        <v>49.5</v>
      </c>
      <c r="H115" s="862">
        <v>40.6</v>
      </c>
      <c r="I115" s="648">
        <v>46.3</v>
      </c>
      <c r="J115" s="648">
        <v>50</v>
      </c>
      <c r="K115" s="648">
        <v>54.1</v>
      </c>
      <c r="L115" s="648">
        <v>57.3</v>
      </c>
    </row>
    <row r="116" spans="2:12" x14ac:dyDescent="0.25">
      <c r="B116" s="863" t="s">
        <v>597</v>
      </c>
      <c r="C116" s="862" t="s">
        <v>181</v>
      </c>
      <c r="D116" s="862"/>
      <c r="E116" s="862">
        <v>3.1</v>
      </c>
      <c r="F116" s="862">
        <v>15.8</v>
      </c>
      <c r="G116" s="862">
        <v>20.399999999999999</v>
      </c>
      <c r="H116" s="862">
        <v>26.8</v>
      </c>
      <c r="I116" s="648">
        <v>30.6</v>
      </c>
      <c r="J116" s="648">
        <v>33.1</v>
      </c>
      <c r="K116" s="648">
        <v>35.700000000000003</v>
      </c>
      <c r="L116" s="648">
        <v>37.799999999999997</v>
      </c>
    </row>
    <row r="117" spans="2:12" x14ac:dyDescent="0.25">
      <c r="B117" s="863" t="s">
        <v>592</v>
      </c>
      <c r="C117" s="862" t="s">
        <v>181</v>
      </c>
      <c r="D117" s="862"/>
      <c r="E117" s="862">
        <v>25.3</v>
      </c>
      <c r="F117" s="862">
        <v>130.6</v>
      </c>
      <c r="G117" s="862">
        <v>168.5</v>
      </c>
      <c r="H117" s="862">
        <v>221.6</v>
      </c>
      <c r="I117" s="648">
        <v>252.7</v>
      </c>
      <c r="J117" s="648">
        <v>272.89999999999998</v>
      </c>
      <c r="K117" s="648">
        <v>294.8</v>
      </c>
      <c r="L117" s="648">
        <v>312.39999999999998</v>
      </c>
    </row>
    <row r="118" spans="2:12" x14ac:dyDescent="0.25">
      <c r="B118" s="863" t="s">
        <v>189</v>
      </c>
      <c r="C118" s="862" t="s">
        <v>181</v>
      </c>
      <c r="D118" s="862"/>
      <c r="E118" s="862">
        <v>131.80000000000001</v>
      </c>
      <c r="F118" s="862">
        <v>568.20000000000005</v>
      </c>
      <c r="G118" s="862">
        <v>204.6</v>
      </c>
      <c r="H118" s="862">
        <v>286.39999999999998</v>
      </c>
      <c r="I118" s="648">
        <v>168.2</v>
      </c>
      <c r="J118" s="648">
        <v>109.1</v>
      </c>
      <c r="K118" s="648">
        <v>118.2</v>
      </c>
      <c r="L118" s="648">
        <v>94.6</v>
      </c>
    </row>
    <row r="119" spans="2:12" x14ac:dyDescent="0.25">
      <c r="B119" s="863" t="s">
        <v>190</v>
      </c>
      <c r="C119" s="862" t="s">
        <v>181</v>
      </c>
      <c r="D119" s="862"/>
      <c r="E119" s="862">
        <v>24.6</v>
      </c>
      <c r="F119" s="862">
        <v>106</v>
      </c>
      <c r="G119" s="862">
        <v>38.200000000000003</v>
      </c>
      <c r="H119" s="862">
        <v>53.4</v>
      </c>
      <c r="I119" s="648">
        <v>31.4</v>
      </c>
      <c r="J119" s="648">
        <v>20.399999999999999</v>
      </c>
      <c r="K119" s="648">
        <v>22.1</v>
      </c>
      <c r="L119" s="648">
        <v>17.600000000000001</v>
      </c>
    </row>
    <row r="120" spans="2:12" x14ac:dyDescent="0.25">
      <c r="B120" s="863" t="s">
        <v>192</v>
      </c>
      <c r="C120" s="862" t="s">
        <v>181</v>
      </c>
      <c r="D120" s="862"/>
      <c r="E120" s="862">
        <v>82</v>
      </c>
      <c r="F120" s="862">
        <v>353.4</v>
      </c>
      <c r="G120" s="862">
        <v>127.2</v>
      </c>
      <c r="H120" s="862">
        <v>178.1</v>
      </c>
      <c r="I120" s="648">
        <v>104.6</v>
      </c>
      <c r="J120" s="648">
        <v>67.900000000000006</v>
      </c>
      <c r="K120" s="648">
        <v>73.5</v>
      </c>
      <c r="L120" s="648">
        <v>58.8</v>
      </c>
    </row>
    <row r="121" spans="2:12" x14ac:dyDescent="0.25">
      <c r="B121" s="863" t="s">
        <v>193</v>
      </c>
      <c r="C121" s="862" t="s">
        <v>181</v>
      </c>
      <c r="D121" s="862"/>
      <c r="E121" s="862">
        <v>14.5</v>
      </c>
      <c r="F121" s="862">
        <v>62.5</v>
      </c>
      <c r="G121" s="862">
        <v>22.5</v>
      </c>
      <c r="H121" s="862">
        <v>31.5</v>
      </c>
      <c r="I121" s="648">
        <v>18.5</v>
      </c>
      <c r="J121" s="648">
        <v>12</v>
      </c>
      <c r="K121" s="648">
        <v>13</v>
      </c>
      <c r="L121" s="648">
        <v>10.4</v>
      </c>
    </row>
    <row r="122" spans="2:12" x14ac:dyDescent="0.25">
      <c r="B122" s="863" t="s">
        <v>194</v>
      </c>
      <c r="C122" s="862" t="s">
        <v>181</v>
      </c>
      <c r="D122" s="862"/>
      <c r="E122" s="862">
        <v>10.7</v>
      </c>
      <c r="F122" s="862">
        <v>46.2</v>
      </c>
      <c r="G122" s="862">
        <v>16.600000000000001</v>
      </c>
      <c r="H122" s="862">
        <v>23.3</v>
      </c>
      <c r="I122" s="648">
        <v>13.7</v>
      </c>
      <c r="J122" s="648">
        <v>8.9</v>
      </c>
      <c r="K122" s="648">
        <v>9.6</v>
      </c>
      <c r="L122" s="648">
        <v>7.7</v>
      </c>
    </row>
    <row r="123" spans="2:12" ht="26.4" x14ac:dyDescent="0.25">
      <c r="B123" s="863" t="s">
        <v>730</v>
      </c>
      <c r="C123" s="862" t="s">
        <v>181</v>
      </c>
      <c r="D123" s="862"/>
      <c r="E123" s="862">
        <v>6.3</v>
      </c>
      <c r="F123" s="862">
        <v>122.8</v>
      </c>
      <c r="G123" s="862">
        <v>118.4</v>
      </c>
      <c r="H123" s="862">
        <v>136.80000000000001</v>
      </c>
      <c r="I123" s="648">
        <v>192.1</v>
      </c>
      <c r="J123" s="648">
        <v>234.1</v>
      </c>
      <c r="K123" s="648">
        <v>277.8</v>
      </c>
      <c r="L123" s="648">
        <v>323.7</v>
      </c>
    </row>
    <row r="124" spans="2:12" x14ac:dyDescent="0.25">
      <c r="B124" s="863" t="s">
        <v>594</v>
      </c>
      <c r="C124" s="862" t="s">
        <v>181</v>
      </c>
      <c r="D124" s="862"/>
      <c r="E124" s="862">
        <v>10.6</v>
      </c>
      <c r="F124" s="862">
        <v>20.7</v>
      </c>
      <c r="G124" s="862">
        <v>18.600000000000001</v>
      </c>
      <c r="H124" s="862">
        <v>0</v>
      </c>
      <c r="I124" s="648">
        <v>0</v>
      </c>
      <c r="J124" s="648">
        <v>0</v>
      </c>
      <c r="K124" s="648">
        <v>0</v>
      </c>
      <c r="L124" s="648">
        <v>0</v>
      </c>
    </row>
    <row r="125" spans="2:12" x14ac:dyDescent="0.25">
      <c r="B125" s="863" t="s">
        <v>195</v>
      </c>
      <c r="C125" s="862"/>
      <c r="D125" s="862"/>
      <c r="E125" s="862"/>
      <c r="F125" s="862"/>
      <c r="G125" s="862"/>
      <c r="H125" s="862"/>
      <c r="I125" s="648"/>
      <c r="J125" s="648"/>
      <c r="K125" s="648"/>
      <c r="L125" s="648"/>
    </row>
    <row r="126" spans="2:12" x14ac:dyDescent="0.25">
      <c r="B126" s="863" t="s">
        <v>595</v>
      </c>
      <c r="C126" s="862" t="s">
        <v>196</v>
      </c>
      <c r="D126" s="862"/>
      <c r="E126" s="694">
        <v>8605</v>
      </c>
      <c r="F126" s="694">
        <v>44459</v>
      </c>
      <c r="G126" s="694">
        <v>57366</v>
      </c>
      <c r="H126" s="694">
        <v>75437</v>
      </c>
      <c r="I126" s="84">
        <v>86049</v>
      </c>
      <c r="J126" s="84">
        <v>92933</v>
      </c>
      <c r="K126" s="84">
        <v>100391</v>
      </c>
      <c r="L126" s="84">
        <v>106357</v>
      </c>
    </row>
    <row r="127" spans="2:12" x14ac:dyDescent="0.25">
      <c r="B127" s="863" t="s">
        <v>596</v>
      </c>
      <c r="C127" s="862" t="s">
        <v>65</v>
      </c>
      <c r="D127" s="862">
        <v>36</v>
      </c>
      <c r="E127" s="862">
        <v>1080</v>
      </c>
      <c r="F127" s="862">
        <v>5580</v>
      </c>
      <c r="G127" s="862">
        <v>7200</v>
      </c>
      <c r="H127" s="862">
        <v>9468</v>
      </c>
      <c r="I127" s="648">
        <v>10800</v>
      </c>
      <c r="J127" s="648">
        <v>11664</v>
      </c>
      <c r="K127" s="648">
        <v>12600</v>
      </c>
      <c r="L127" s="648">
        <v>13348.8</v>
      </c>
    </row>
    <row r="128" spans="2:12" x14ac:dyDescent="0.25">
      <c r="B128" s="863" t="s">
        <v>598</v>
      </c>
      <c r="C128" s="862" t="s">
        <v>718</v>
      </c>
      <c r="D128" s="862"/>
      <c r="E128" s="694">
        <v>19</v>
      </c>
      <c r="F128" s="694">
        <v>100</v>
      </c>
      <c r="G128" s="694">
        <v>130</v>
      </c>
      <c r="H128" s="694">
        <v>170</v>
      </c>
      <c r="I128" s="84">
        <v>194</v>
      </c>
      <c r="J128" s="84">
        <v>210</v>
      </c>
      <c r="K128" s="84">
        <v>227</v>
      </c>
      <c r="L128" s="84">
        <v>240</v>
      </c>
    </row>
    <row r="129" spans="2:12" x14ac:dyDescent="0.25">
      <c r="B129" s="861"/>
      <c r="C129" s="11"/>
      <c r="D129" s="11"/>
      <c r="E129" s="11"/>
      <c r="F129" s="11"/>
      <c r="G129" s="11"/>
      <c r="H129" s="11"/>
    </row>
    <row r="130" spans="2:12" x14ac:dyDescent="0.25">
      <c r="B130" s="861"/>
      <c r="C130" s="11"/>
      <c r="D130" s="11"/>
      <c r="E130" s="11"/>
      <c r="F130" s="11"/>
      <c r="G130" s="11"/>
      <c r="H130" s="11"/>
    </row>
    <row r="131" spans="2:12" x14ac:dyDescent="0.25">
      <c r="B131" s="863"/>
      <c r="C131" s="862" t="s">
        <v>143</v>
      </c>
      <c r="D131" s="862"/>
      <c r="E131" s="855">
        <v>2015</v>
      </c>
      <c r="F131" s="855">
        <v>2020</v>
      </c>
      <c r="G131" s="855">
        <v>2025</v>
      </c>
      <c r="H131" s="855">
        <v>2030</v>
      </c>
      <c r="I131" s="323">
        <v>2035</v>
      </c>
      <c r="J131" s="323">
        <v>2040</v>
      </c>
      <c r="K131" s="323">
        <v>2045</v>
      </c>
      <c r="L131" s="323">
        <v>2050</v>
      </c>
    </row>
    <row r="132" spans="2:12" x14ac:dyDescent="0.25">
      <c r="B132" s="863" t="s">
        <v>609</v>
      </c>
      <c r="C132" s="862" t="s">
        <v>65</v>
      </c>
      <c r="D132" s="862"/>
      <c r="E132" s="862">
        <v>342.9</v>
      </c>
      <c r="F132" s="862">
        <v>685.8</v>
      </c>
      <c r="G132" s="862">
        <v>1376.5</v>
      </c>
      <c r="H132" s="862">
        <v>2067.1999999999998</v>
      </c>
      <c r="I132" s="648">
        <v>1997.2</v>
      </c>
      <c r="J132" s="648">
        <v>1926.8</v>
      </c>
      <c r="K132" s="648">
        <v>1891.8</v>
      </c>
      <c r="L132" s="648">
        <v>1786.9</v>
      </c>
    </row>
    <row r="133" spans="2:12" x14ac:dyDescent="0.25">
      <c r="B133" s="863" t="s">
        <v>610</v>
      </c>
      <c r="C133" s="862" t="s">
        <v>181</v>
      </c>
      <c r="D133" s="862"/>
      <c r="E133" s="862">
        <v>26.1</v>
      </c>
      <c r="F133" s="862">
        <v>64.7</v>
      </c>
      <c r="G133" s="862">
        <v>120.1</v>
      </c>
      <c r="H133" s="862">
        <v>167.6</v>
      </c>
      <c r="I133" s="648">
        <v>159.1</v>
      </c>
      <c r="J133" s="648">
        <v>155.9</v>
      </c>
      <c r="K133" s="648">
        <v>155.19999999999999</v>
      </c>
      <c r="L133" s="648">
        <v>149.30000000000001</v>
      </c>
    </row>
    <row r="134" spans="2:12" x14ac:dyDescent="0.25">
      <c r="B134" s="863" t="s">
        <v>736</v>
      </c>
      <c r="C134" s="862" t="s">
        <v>181</v>
      </c>
      <c r="D134" s="862"/>
      <c r="E134" s="862">
        <v>3.8</v>
      </c>
      <c r="F134" s="862">
        <v>7.5</v>
      </c>
      <c r="G134" s="862">
        <v>15.1</v>
      </c>
      <c r="H134" s="862">
        <v>22.7</v>
      </c>
      <c r="I134" s="648">
        <v>22</v>
      </c>
      <c r="J134" s="648">
        <v>21.2</v>
      </c>
      <c r="K134" s="648">
        <v>20.8</v>
      </c>
      <c r="L134" s="648">
        <v>19.7</v>
      </c>
    </row>
    <row r="135" spans="2:12" x14ac:dyDescent="0.25">
      <c r="B135" s="863" t="s">
        <v>590</v>
      </c>
      <c r="C135" s="862" t="s">
        <v>181</v>
      </c>
      <c r="D135" s="862"/>
      <c r="E135" s="862">
        <v>4.5999999999999996</v>
      </c>
      <c r="F135" s="862">
        <v>9.1999999999999993</v>
      </c>
      <c r="G135" s="862">
        <v>18.399999999999999</v>
      </c>
      <c r="H135" s="862">
        <v>27.6</v>
      </c>
      <c r="I135" s="648">
        <v>26.7</v>
      </c>
      <c r="J135" s="648">
        <v>25.7</v>
      </c>
      <c r="K135" s="648">
        <v>25.3</v>
      </c>
      <c r="L135" s="648">
        <v>23.9</v>
      </c>
    </row>
    <row r="136" spans="2:12" x14ac:dyDescent="0.25">
      <c r="B136" s="863" t="s">
        <v>737</v>
      </c>
      <c r="C136" s="862" t="s">
        <v>181</v>
      </c>
      <c r="D136" s="862"/>
      <c r="E136" s="862">
        <v>5.7</v>
      </c>
      <c r="F136" s="862">
        <v>11.3</v>
      </c>
      <c r="G136" s="862">
        <v>22.7</v>
      </c>
      <c r="H136" s="862">
        <v>34.1</v>
      </c>
      <c r="I136" s="648">
        <v>33</v>
      </c>
      <c r="J136" s="648">
        <v>31.8</v>
      </c>
      <c r="K136" s="648">
        <v>31.2</v>
      </c>
      <c r="L136" s="648">
        <v>29.5</v>
      </c>
    </row>
    <row r="137" spans="2:12" x14ac:dyDescent="0.25">
      <c r="B137" s="863" t="s">
        <v>738</v>
      </c>
      <c r="C137" s="862" t="s">
        <v>181</v>
      </c>
      <c r="D137" s="862"/>
      <c r="E137" s="862">
        <v>3.8</v>
      </c>
      <c r="F137" s="862">
        <v>7.5</v>
      </c>
      <c r="G137" s="862">
        <v>15.1</v>
      </c>
      <c r="H137" s="862">
        <v>22.7</v>
      </c>
      <c r="I137" s="648">
        <v>22</v>
      </c>
      <c r="J137" s="648">
        <v>21.2</v>
      </c>
      <c r="K137" s="648">
        <v>20.8</v>
      </c>
      <c r="L137" s="648">
        <v>19.7</v>
      </c>
    </row>
    <row r="138" spans="2:12" x14ac:dyDescent="0.25">
      <c r="B138" s="863" t="s">
        <v>628</v>
      </c>
      <c r="C138" s="862" t="s">
        <v>181</v>
      </c>
      <c r="D138" s="862"/>
      <c r="E138" s="862">
        <v>3.5</v>
      </c>
      <c r="F138" s="862">
        <v>7</v>
      </c>
      <c r="G138" s="862">
        <v>14.1</v>
      </c>
      <c r="H138" s="862">
        <v>21.1</v>
      </c>
      <c r="I138" s="648">
        <v>20.399999999999999</v>
      </c>
      <c r="J138" s="648">
        <v>19.7</v>
      </c>
      <c r="K138" s="648">
        <v>19.3</v>
      </c>
      <c r="L138" s="648">
        <v>18.3</v>
      </c>
    </row>
    <row r="139" spans="2:12" x14ac:dyDescent="0.25">
      <c r="B139" s="863" t="s">
        <v>631</v>
      </c>
      <c r="C139" s="862" t="s">
        <v>181</v>
      </c>
      <c r="D139" s="862"/>
      <c r="E139" s="862">
        <v>4.8</v>
      </c>
      <c r="F139" s="862">
        <v>22.1</v>
      </c>
      <c r="G139" s="862">
        <v>34.6</v>
      </c>
      <c r="H139" s="862">
        <v>39.200000000000003</v>
      </c>
      <c r="I139" s="648">
        <v>35.1</v>
      </c>
      <c r="J139" s="648">
        <v>36.200000000000003</v>
      </c>
      <c r="K139" s="648">
        <v>37.700000000000003</v>
      </c>
      <c r="L139" s="648">
        <v>38.4</v>
      </c>
    </row>
    <row r="140" spans="2:12" x14ac:dyDescent="0.25">
      <c r="B140" s="863" t="s">
        <v>597</v>
      </c>
      <c r="C140" s="862" t="s">
        <v>181</v>
      </c>
      <c r="D140" s="862"/>
      <c r="E140" s="862">
        <v>3.2</v>
      </c>
      <c r="F140" s="862">
        <v>12.8</v>
      </c>
      <c r="G140" s="862">
        <v>18.100000000000001</v>
      </c>
      <c r="H140" s="862">
        <v>24.7</v>
      </c>
      <c r="I140" s="648">
        <v>26.9</v>
      </c>
      <c r="J140" s="648">
        <v>28.3</v>
      </c>
      <c r="K140" s="648">
        <v>30</v>
      </c>
      <c r="L140" s="648">
        <v>31</v>
      </c>
    </row>
    <row r="141" spans="2:12" x14ac:dyDescent="0.25">
      <c r="B141" s="863" t="s">
        <v>592</v>
      </c>
      <c r="C141" s="862" t="s">
        <v>181</v>
      </c>
      <c r="D141" s="862"/>
      <c r="E141" s="862">
        <v>20.2</v>
      </c>
      <c r="F141" s="862">
        <v>47</v>
      </c>
      <c r="G141" s="862">
        <v>101.1</v>
      </c>
      <c r="H141" s="862">
        <v>136.80000000000001</v>
      </c>
      <c r="I141" s="648">
        <v>132.19999999999999</v>
      </c>
      <c r="J141" s="648">
        <v>127.6</v>
      </c>
      <c r="K141" s="648">
        <v>125.2</v>
      </c>
      <c r="L141" s="648">
        <v>118.3</v>
      </c>
    </row>
    <row r="142" spans="2:12" x14ac:dyDescent="0.25">
      <c r="B142" s="863" t="s">
        <v>189</v>
      </c>
      <c r="C142" s="862" t="s">
        <v>181</v>
      </c>
      <c r="D142" s="862"/>
      <c r="E142" s="862">
        <v>118.4</v>
      </c>
      <c r="F142" s="862">
        <v>197.6</v>
      </c>
      <c r="G142" s="862">
        <v>110.6</v>
      </c>
      <c r="H142" s="862">
        <v>176.9</v>
      </c>
      <c r="I142" s="648">
        <v>88</v>
      </c>
      <c r="J142" s="648">
        <v>51</v>
      </c>
      <c r="K142" s="648">
        <v>50.2</v>
      </c>
      <c r="L142" s="648">
        <v>35.799999999999997</v>
      </c>
    </row>
    <row r="143" spans="2:12" x14ac:dyDescent="0.25">
      <c r="B143" s="863" t="s">
        <v>190</v>
      </c>
      <c r="C143" s="862" t="s">
        <v>181</v>
      </c>
      <c r="D143" s="862"/>
      <c r="E143" s="862">
        <v>22.1</v>
      </c>
      <c r="F143" s="862">
        <v>36.9</v>
      </c>
      <c r="G143" s="862">
        <v>20.6</v>
      </c>
      <c r="H143" s="862">
        <v>33</v>
      </c>
      <c r="I143" s="648">
        <v>16.399999999999999</v>
      </c>
      <c r="J143" s="648">
        <v>9.5</v>
      </c>
      <c r="K143" s="648">
        <v>9.4</v>
      </c>
      <c r="L143" s="648">
        <v>6.7</v>
      </c>
    </row>
    <row r="144" spans="2:12" x14ac:dyDescent="0.25">
      <c r="B144" s="863" t="s">
        <v>192</v>
      </c>
      <c r="C144" s="862" t="s">
        <v>181</v>
      </c>
      <c r="D144" s="862"/>
      <c r="E144" s="862">
        <v>73.599999999999994</v>
      </c>
      <c r="F144" s="862">
        <v>122.9</v>
      </c>
      <c r="G144" s="862">
        <v>68.8</v>
      </c>
      <c r="H144" s="862">
        <v>110</v>
      </c>
      <c r="I144" s="648">
        <v>54.7</v>
      </c>
      <c r="J144" s="648">
        <v>31.7</v>
      </c>
      <c r="K144" s="648">
        <v>31.2</v>
      </c>
      <c r="L144" s="648">
        <v>22.3</v>
      </c>
    </row>
    <row r="145" spans="2:12" x14ac:dyDescent="0.25">
      <c r="B145" s="863" t="s">
        <v>193</v>
      </c>
      <c r="C145" s="862" t="s">
        <v>181</v>
      </c>
      <c r="D145" s="862"/>
      <c r="E145" s="862">
        <v>13</v>
      </c>
      <c r="F145" s="862">
        <v>21.7</v>
      </c>
      <c r="G145" s="862">
        <v>12.2</v>
      </c>
      <c r="H145" s="862">
        <v>19.5</v>
      </c>
      <c r="I145" s="648">
        <v>9.6999999999999993</v>
      </c>
      <c r="J145" s="648">
        <v>5.6</v>
      </c>
      <c r="K145" s="648">
        <v>5.5</v>
      </c>
      <c r="L145" s="648">
        <v>3.9</v>
      </c>
    </row>
    <row r="146" spans="2:12" x14ac:dyDescent="0.25">
      <c r="B146" s="863" t="s">
        <v>194</v>
      </c>
      <c r="C146" s="862" t="s">
        <v>181</v>
      </c>
      <c r="D146" s="862"/>
      <c r="E146" s="862">
        <v>9.6</v>
      </c>
      <c r="F146" s="862">
        <v>16.100000000000001</v>
      </c>
      <c r="G146" s="862">
        <v>9</v>
      </c>
      <c r="H146" s="862">
        <v>14.4</v>
      </c>
      <c r="I146" s="648">
        <v>7.2</v>
      </c>
      <c r="J146" s="648">
        <v>4.0999999999999996</v>
      </c>
      <c r="K146" s="648">
        <v>4.0999999999999996</v>
      </c>
      <c r="L146" s="648">
        <v>2.9</v>
      </c>
    </row>
    <row r="147" spans="2:12" ht="26.4" x14ac:dyDescent="0.25">
      <c r="B147" s="863" t="s">
        <v>730</v>
      </c>
      <c r="C147" s="862" t="s">
        <v>181</v>
      </c>
      <c r="D147" s="862"/>
      <c r="E147" s="862">
        <v>3.2</v>
      </c>
      <c r="F147" s="862">
        <v>12.8</v>
      </c>
      <c r="G147" s="862">
        <v>18.100000000000001</v>
      </c>
      <c r="H147" s="862">
        <v>24.7</v>
      </c>
      <c r="I147" s="648">
        <v>26.9</v>
      </c>
      <c r="J147" s="648">
        <v>28.3</v>
      </c>
      <c r="K147" s="648">
        <v>30</v>
      </c>
      <c r="L147" s="648">
        <v>31</v>
      </c>
    </row>
    <row r="148" spans="2:12" x14ac:dyDescent="0.25">
      <c r="B148" s="863" t="s">
        <v>594</v>
      </c>
      <c r="C148" s="862" t="s">
        <v>181</v>
      </c>
      <c r="D148" s="862"/>
      <c r="E148" s="862">
        <v>2.8</v>
      </c>
      <c r="F148" s="862">
        <v>4.9000000000000004</v>
      </c>
      <c r="G148" s="862">
        <v>0.9</v>
      </c>
      <c r="H148" s="862">
        <v>6.1</v>
      </c>
      <c r="I148" s="648">
        <v>0</v>
      </c>
      <c r="J148" s="648">
        <v>0</v>
      </c>
      <c r="K148" s="648">
        <v>0</v>
      </c>
      <c r="L148" s="648">
        <v>0</v>
      </c>
    </row>
    <row r="149" spans="2:12" x14ac:dyDescent="0.25">
      <c r="B149" s="863" t="s">
        <v>195</v>
      </c>
      <c r="C149" s="862"/>
      <c r="D149" s="862"/>
      <c r="E149" s="862"/>
      <c r="F149" s="862"/>
      <c r="G149" s="862"/>
      <c r="H149" s="862"/>
      <c r="I149" s="648"/>
      <c r="J149" s="648"/>
      <c r="K149" s="648"/>
      <c r="L149" s="648"/>
    </row>
    <row r="150" spans="2:12" x14ac:dyDescent="0.25">
      <c r="B150" s="863" t="s">
        <v>595</v>
      </c>
      <c r="C150" s="862" t="s">
        <v>196</v>
      </c>
      <c r="D150" s="862"/>
      <c r="E150" s="862">
        <v>7728.5</v>
      </c>
      <c r="F150" s="862">
        <v>15457</v>
      </c>
      <c r="G150" s="862">
        <v>31025.599999999999</v>
      </c>
      <c r="H150" s="862">
        <v>46594.1</v>
      </c>
      <c r="I150" s="648">
        <v>45016.5</v>
      </c>
      <c r="J150" s="648">
        <v>43431</v>
      </c>
      <c r="K150" s="648">
        <v>42642.2</v>
      </c>
      <c r="L150" s="648">
        <v>40275.9</v>
      </c>
    </row>
    <row r="151" spans="2:12" x14ac:dyDescent="0.25">
      <c r="B151" s="863" t="s">
        <v>596</v>
      </c>
      <c r="C151" s="862" t="s">
        <v>65</v>
      </c>
      <c r="D151" s="862">
        <v>36</v>
      </c>
      <c r="E151" s="862">
        <v>1080</v>
      </c>
      <c r="F151" s="862">
        <v>5580</v>
      </c>
      <c r="G151" s="862">
        <v>7200</v>
      </c>
      <c r="H151" s="862">
        <v>9468</v>
      </c>
      <c r="I151" s="648">
        <v>10800</v>
      </c>
      <c r="J151" s="648">
        <v>11664</v>
      </c>
      <c r="K151" s="648">
        <v>12600</v>
      </c>
      <c r="L151" s="648">
        <v>13348.8</v>
      </c>
    </row>
    <row r="152" spans="2:12" x14ac:dyDescent="0.25">
      <c r="B152" s="863" t="s">
        <v>598</v>
      </c>
      <c r="C152" s="862" t="s">
        <v>718</v>
      </c>
      <c r="D152" s="862"/>
      <c r="E152" s="862">
        <v>17.5</v>
      </c>
      <c r="F152" s="862">
        <v>34.9</v>
      </c>
      <c r="G152" s="862">
        <v>70.099999999999994</v>
      </c>
      <c r="H152" s="862">
        <v>105.3</v>
      </c>
      <c r="I152" s="648">
        <v>101.7</v>
      </c>
      <c r="J152" s="648">
        <v>98.1</v>
      </c>
      <c r="K152" s="648">
        <v>96.3</v>
      </c>
      <c r="L152" s="648">
        <v>91</v>
      </c>
    </row>
    <row r="153" spans="2:12" x14ac:dyDescent="0.25">
      <c r="B153" s="861"/>
      <c r="C153" s="11"/>
      <c r="D153" s="11"/>
      <c r="E153" s="11"/>
      <c r="F153" s="11"/>
      <c r="G153" s="11"/>
      <c r="H153" s="1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topLeftCell="A57" zoomScale="150" zoomScaleNormal="150" zoomScalePageLayoutView="150" workbookViewId="0">
      <selection activeCell="F72" sqref="F72"/>
    </sheetView>
  </sheetViews>
  <sheetFormatPr defaultColWidth="17.109375" defaultRowHeight="12.75" customHeight="1" x14ac:dyDescent="0.25"/>
  <cols>
    <col min="2" max="2" width="9.44140625" hidden="1" customWidth="1"/>
    <col min="3" max="3" width="10.77734375" customWidth="1"/>
    <col min="4" max="4" width="9.44140625" customWidth="1"/>
    <col min="5" max="5" width="8.44140625" customWidth="1"/>
    <col min="6" max="6" width="9.109375" customWidth="1"/>
    <col min="7" max="7" width="8.109375" customWidth="1"/>
    <col min="8" max="8" width="8.44140625" customWidth="1"/>
    <col min="9" max="9" width="8.33203125" customWidth="1"/>
    <col min="10" max="10" width="8.44140625" customWidth="1"/>
    <col min="11" max="11" width="9.109375" customWidth="1"/>
    <col min="14" max="14" width="9.109375" customWidth="1"/>
    <col min="15" max="15" width="8.6640625" customWidth="1"/>
    <col min="16" max="16" width="8.109375" customWidth="1"/>
    <col min="17" max="17" width="7.77734375" customWidth="1"/>
    <col min="18" max="18" width="7.109375" customWidth="1"/>
    <col min="19" max="20" width="6.77734375" customWidth="1"/>
    <col min="21" max="21" width="11" customWidth="1"/>
    <col min="22" max="22" width="11.44140625" customWidth="1"/>
    <col min="23" max="23" width="10.33203125" customWidth="1"/>
  </cols>
  <sheetData>
    <row r="1" spans="1:23" ht="46.8" hidden="1" x14ac:dyDescent="0.3">
      <c r="A1" s="75" t="s">
        <v>272</v>
      </c>
    </row>
    <row r="2" spans="1:23" ht="12.75" hidden="1" customHeight="1" x14ac:dyDescent="0.25">
      <c r="B2" t="s">
        <v>273</v>
      </c>
    </row>
    <row r="3" spans="1:23" ht="12.75" hidden="1" customHeight="1" x14ac:dyDescent="0.25">
      <c r="A3" t="s">
        <v>274</v>
      </c>
      <c r="B3" t="s">
        <v>143</v>
      </c>
      <c r="C3">
        <v>2010</v>
      </c>
      <c r="D3">
        <v>2015</v>
      </c>
      <c r="E3">
        <v>2020</v>
      </c>
      <c r="F3">
        <v>2025</v>
      </c>
      <c r="G3">
        <v>2030</v>
      </c>
      <c r="H3">
        <v>2035</v>
      </c>
      <c r="I3">
        <v>2040</v>
      </c>
      <c r="J3">
        <v>2045</v>
      </c>
      <c r="K3">
        <v>2050</v>
      </c>
      <c r="M3" t="s">
        <v>143</v>
      </c>
      <c r="O3">
        <v>2010</v>
      </c>
      <c r="P3">
        <v>2015</v>
      </c>
      <c r="Q3">
        <v>2020</v>
      </c>
      <c r="R3">
        <v>2025</v>
      </c>
      <c r="S3">
        <v>2030</v>
      </c>
      <c r="T3">
        <v>2035</v>
      </c>
      <c r="U3">
        <v>2040</v>
      </c>
      <c r="V3">
        <v>2045</v>
      </c>
      <c r="W3">
        <v>2050</v>
      </c>
    </row>
    <row r="4" spans="1:23" ht="12.75" hidden="1" customHeight="1" x14ac:dyDescent="0.25">
      <c r="A4" t="s">
        <v>275</v>
      </c>
      <c r="O4" s="647">
        <v>2010</v>
      </c>
      <c r="P4" s="647">
        <v>2015</v>
      </c>
      <c r="Q4" s="647">
        <v>2020</v>
      </c>
      <c r="R4" s="647">
        <v>2025</v>
      </c>
      <c r="S4" s="647">
        <v>2030</v>
      </c>
      <c r="T4" s="647">
        <v>2035</v>
      </c>
      <c r="U4" s="647">
        <v>2040</v>
      </c>
      <c r="V4" s="647">
        <v>2045</v>
      </c>
      <c r="W4" s="647">
        <v>2050</v>
      </c>
    </row>
    <row r="5" spans="1:23" ht="12.75" hidden="1" customHeight="1" x14ac:dyDescent="0.25">
      <c r="A5" t="s">
        <v>276</v>
      </c>
      <c r="B5" t="s">
        <v>65</v>
      </c>
      <c r="C5">
        <v>228</v>
      </c>
      <c r="D5">
        <v>232</v>
      </c>
      <c r="E5">
        <v>235</v>
      </c>
      <c r="F5">
        <v>649</v>
      </c>
      <c r="G5">
        <v>1064</v>
      </c>
      <c r="H5">
        <v>1384</v>
      </c>
      <c r="I5">
        <v>1703</v>
      </c>
      <c r="J5">
        <v>1863</v>
      </c>
      <c r="K5">
        <v>2343</v>
      </c>
      <c r="M5" t="s">
        <v>16</v>
      </c>
      <c r="N5" t="s">
        <v>276</v>
      </c>
      <c r="O5">
        <v>5</v>
      </c>
      <c r="P5">
        <v>6</v>
      </c>
      <c r="Q5">
        <v>6</v>
      </c>
      <c r="R5">
        <v>16</v>
      </c>
      <c r="S5">
        <v>25</v>
      </c>
      <c r="T5">
        <v>33</v>
      </c>
      <c r="U5">
        <v>41</v>
      </c>
      <c r="V5">
        <v>44</v>
      </c>
      <c r="W5">
        <v>56</v>
      </c>
    </row>
    <row r="6" spans="1:23" ht="12.75" hidden="1" customHeight="1" x14ac:dyDescent="0.25">
      <c r="A6" t="s">
        <v>277</v>
      </c>
      <c r="B6" t="s">
        <v>65</v>
      </c>
      <c r="C6">
        <v>10501</v>
      </c>
      <c r="D6">
        <v>9999</v>
      </c>
      <c r="E6">
        <v>9497</v>
      </c>
      <c r="F6">
        <v>7092</v>
      </c>
      <c r="G6">
        <v>4688</v>
      </c>
      <c r="H6">
        <v>3777</v>
      </c>
      <c r="I6">
        <v>2866</v>
      </c>
      <c r="J6">
        <v>2410</v>
      </c>
      <c r="K6">
        <v>1044</v>
      </c>
      <c r="M6" t="s">
        <v>16</v>
      </c>
      <c r="N6" t="s">
        <v>277</v>
      </c>
      <c r="O6">
        <v>251</v>
      </c>
      <c r="P6">
        <v>239</v>
      </c>
      <c r="Q6">
        <v>227</v>
      </c>
      <c r="R6">
        <v>169</v>
      </c>
      <c r="S6">
        <v>112</v>
      </c>
      <c r="T6">
        <v>90</v>
      </c>
      <c r="U6">
        <v>68</v>
      </c>
      <c r="V6">
        <v>58</v>
      </c>
      <c r="W6">
        <v>25</v>
      </c>
    </row>
    <row r="7" spans="1:23" ht="12.75" hidden="1" customHeight="1" x14ac:dyDescent="0.25">
      <c r="A7" t="s">
        <v>278</v>
      </c>
      <c r="B7" t="s">
        <v>65</v>
      </c>
      <c r="C7">
        <v>19157</v>
      </c>
      <c r="D7">
        <v>18199</v>
      </c>
      <c r="E7">
        <v>17241</v>
      </c>
      <c r="F7">
        <v>14936</v>
      </c>
      <c r="G7">
        <v>12631</v>
      </c>
      <c r="H7">
        <v>10726</v>
      </c>
      <c r="I7">
        <v>8821</v>
      </c>
      <c r="J7">
        <v>7869</v>
      </c>
      <c r="K7">
        <v>5012</v>
      </c>
      <c r="M7" t="s">
        <v>16</v>
      </c>
      <c r="N7" t="s">
        <v>278</v>
      </c>
      <c r="O7">
        <v>458</v>
      </c>
      <c r="P7">
        <v>435</v>
      </c>
      <c r="Q7">
        <v>412</v>
      </c>
      <c r="R7">
        <v>357</v>
      </c>
      <c r="S7">
        <v>302</v>
      </c>
      <c r="T7">
        <v>256</v>
      </c>
      <c r="U7">
        <v>211</v>
      </c>
      <c r="V7">
        <v>188</v>
      </c>
      <c r="W7">
        <v>120</v>
      </c>
    </row>
    <row r="8" spans="1:23" s="271" customFormat="1" ht="12.75" hidden="1" customHeight="1" x14ac:dyDescent="0.25">
      <c r="A8" s="271" t="s">
        <v>279</v>
      </c>
      <c r="B8" s="271" t="s">
        <v>65</v>
      </c>
      <c r="C8" s="271">
        <v>0</v>
      </c>
      <c r="D8" s="271">
        <v>518</v>
      </c>
      <c r="E8" s="271">
        <v>1035</v>
      </c>
      <c r="F8" s="271">
        <v>1885</v>
      </c>
      <c r="G8" s="271">
        <v>2735</v>
      </c>
      <c r="H8" s="271">
        <v>2480</v>
      </c>
      <c r="I8" s="271">
        <v>2224</v>
      </c>
      <c r="J8" s="271">
        <v>2097</v>
      </c>
      <c r="K8" s="271">
        <v>1713</v>
      </c>
      <c r="M8" s="271" t="s">
        <v>16</v>
      </c>
      <c r="N8" s="271" t="s">
        <v>279</v>
      </c>
      <c r="O8" s="271">
        <v>0</v>
      </c>
      <c r="P8" s="271">
        <v>12</v>
      </c>
      <c r="Q8" s="271">
        <v>25</v>
      </c>
      <c r="R8" s="271">
        <v>45</v>
      </c>
      <c r="S8" s="271">
        <v>65</v>
      </c>
      <c r="T8" s="271">
        <v>59</v>
      </c>
      <c r="U8" s="271">
        <v>53</v>
      </c>
      <c r="V8" s="271">
        <v>50</v>
      </c>
      <c r="W8" s="271">
        <v>41</v>
      </c>
    </row>
    <row r="9" spans="1:23" ht="12.75" hidden="1" customHeight="1" x14ac:dyDescent="0.25">
      <c r="A9" t="s">
        <v>280</v>
      </c>
      <c r="B9" t="s">
        <v>65</v>
      </c>
      <c r="C9">
        <v>0</v>
      </c>
      <c r="D9">
        <v>548</v>
      </c>
      <c r="E9">
        <v>1096</v>
      </c>
      <c r="F9">
        <v>1329</v>
      </c>
      <c r="G9">
        <v>1563</v>
      </c>
      <c r="H9">
        <v>1259</v>
      </c>
      <c r="I9">
        <v>955</v>
      </c>
      <c r="J9">
        <v>803</v>
      </c>
      <c r="K9">
        <v>348</v>
      </c>
      <c r="M9" t="s">
        <v>16</v>
      </c>
      <c r="N9" t="s">
        <v>280</v>
      </c>
      <c r="O9">
        <v>0</v>
      </c>
      <c r="P9">
        <v>13</v>
      </c>
      <c r="Q9">
        <v>26</v>
      </c>
      <c r="R9">
        <v>32</v>
      </c>
      <c r="S9">
        <v>37</v>
      </c>
      <c r="T9">
        <v>30</v>
      </c>
      <c r="U9">
        <v>23</v>
      </c>
      <c r="V9">
        <v>19</v>
      </c>
      <c r="W9">
        <v>8</v>
      </c>
    </row>
    <row r="10" spans="1:23" ht="12.75" hidden="1" customHeight="1" x14ac:dyDescent="0.25">
      <c r="A10" s="647" t="s">
        <v>1192</v>
      </c>
      <c r="B10" s="647" t="s">
        <v>154</v>
      </c>
      <c r="C10" s="15">
        <f>C9/C13</f>
        <v>0</v>
      </c>
      <c r="D10" s="15">
        <f t="shared" ref="D10:K10" si="0">D9/D13</f>
        <v>1.7937806873977086E-2</v>
      </c>
      <c r="E10" s="15">
        <f t="shared" si="0"/>
        <v>3.5112449541872238E-2</v>
      </c>
      <c r="F10" s="15">
        <f t="shared" si="0"/>
        <v>4.4491312644370791E-2</v>
      </c>
      <c r="G10" s="15">
        <f t="shared" si="0"/>
        <v>5.4788278182837914E-2</v>
      </c>
      <c r="H10" s="15">
        <f t="shared" si="0"/>
        <v>4.9812067260138475E-2</v>
      </c>
      <c r="I10" s="15">
        <f t="shared" si="0"/>
        <v>4.3367694473457154E-2</v>
      </c>
      <c r="J10" s="15">
        <f t="shared" si="0"/>
        <v>3.9372395194900711E-2</v>
      </c>
      <c r="K10" s="15">
        <f t="shared" si="0"/>
        <v>2.2429906542056073E-2</v>
      </c>
    </row>
    <row r="11" spans="1:23" ht="12.75" hidden="1" customHeight="1" x14ac:dyDescent="0.25">
      <c r="A11" t="s">
        <v>281</v>
      </c>
      <c r="B11" t="s">
        <v>65</v>
      </c>
      <c r="C11">
        <v>0</v>
      </c>
      <c r="D11">
        <v>85</v>
      </c>
      <c r="E11">
        <v>170</v>
      </c>
      <c r="F11">
        <v>85</v>
      </c>
      <c r="G11">
        <v>0</v>
      </c>
      <c r="H11">
        <v>0</v>
      </c>
      <c r="I11">
        <v>0</v>
      </c>
      <c r="J11">
        <v>0</v>
      </c>
      <c r="K11">
        <v>0</v>
      </c>
      <c r="M11" t="s">
        <v>16</v>
      </c>
      <c r="N11" t="s">
        <v>281</v>
      </c>
      <c r="O11">
        <v>0</v>
      </c>
      <c r="P11">
        <v>2</v>
      </c>
      <c r="Q11">
        <v>4</v>
      </c>
      <c r="R11">
        <v>2</v>
      </c>
      <c r="S11">
        <v>0</v>
      </c>
      <c r="T11">
        <v>0</v>
      </c>
      <c r="U11">
        <v>0</v>
      </c>
      <c r="V11">
        <v>0</v>
      </c>
      <c r="W11">
        <v>0</v>
      </c>
    </row>
    <row r="12" spans="1:23" s="385" customFormat="1" ht="12.75" hidden="1" customHeight="1" x14ac:dyDescent="0.25">
      <c r="A12" s="385" t="s">
        <v>13</v>
      </c>
      <c r="B12" s="385" t="s">
        <v>65</v>
      </c>
      <c r="C12" s="385">
        <v>0</v>
      </c>
      <c r="D12" s="385">
        <v>970</v>
      </c>
      <c r="E12" s="385">
        <v>1940</v>
      </c>
      <c r="F12" s="385">
        <v>3894</v>
      </c>
      <c r="G12" s="385">
        <v>5848</v>
      </c>
      <c r="H12" s="385">
        <v>5650</v>
      </c>
      <c r="I12" s="385">
        <v>5451</v>
      </c>
      <c r="J12" s="385">
        <v>5352</v>
      </c>
      <c r="K12" s="385">
        <v>5055</v>
      </c>
      <c r="M12" s="385" t="s">
        <v>16</v>
      </c>
      <c r="N12" s="385" t="s">
        <v>13</v>
      </c>
      <c r="O12" s="385">
        <v>0</v>
      </c>
      <c r="P12" s="385">
        <v>23</v>
      </c>
      <c r="Q12" s="385">
        <v>46</v>
      </c>
      <c r="R12" s="385">
        <v>93</v>
      </c>
      <c r="S12" s="385">
        <v>140</v>
      </c>
      <c r="T12" s="385">
        <v>135</v>
      </c>
      <c r="U12" s="385">
        <v>130</v>
      </c>
      <c r="V12" s="385">
        <v>128</v>
      </c>
      <c r="W12" s="385">
        <v>121</v>
      </c>
    </row>
    <row r="13" spans="1:23" ht="12.75" hidden="1" customHeight="1" x14ac:dyDescent="0.25">
      <c r="A13" t="s">
        <v>282</v>
      </c>
      <c r="C13">
        <v>29886</v>
      </c>
      <c r="D13">
        <v>30550</v>
      </c>
      <c r="E13">
        <v>31214</v>
      </c>
      <c r="F13">
        <v>29871</v>
      </c>
      <c r="G13">
        <v>28528</v>
      </c>
      <c r="H13">
        <v>25275</v>
      </c>
      <c r="I13">
        <v>22021</v>
      </c>
      <c r="J13">
        <v>20395</v>
      </c>
      <c r="K13">
        <v>15515</v>
      </c>
      <c r="M13" t="s">
        <v>16</v>
      </c>
      <c r="N13" t="s">
        <v>282</v>
      </c>
      <c r="O13">
        <v>714</v>
      </c>
      <c r="P13">
        <v>730</v>
      </c>
      <c r="Q13">
        <v>746</v>
      </c>
      <c r="R13">
        <v>713</v>
      </c>
      <c r="S13">
        <v>681</v>
      </c>
      <c r="T13">
        <v>604</v>
      </c>
      <c r="U13">
        <v>526</v>
      </c>
      <c r="V13">
        <v>487</v>
      </c>
      <c r="W13">
        <v>371</v>
      </c>
    </row>
    <row r="14" spans="1:23" ht="12.75" hidden="1" customHeight="1" x14ac:dyDescent="0.25">
      <c r="D14">
        <f t="shared" ref="D14:K14" si="1">D8+D12</f>
        <v>1488</v>
      </c>
      <c r="E14">
        <f t="shared" si="1"/>
        <v>2975</v>
      </c>
      <c r="F14">
        <f t="shared" si="1"/>
        <v>5779</v>
      </c>
      <c r="G14">
        <f t="shared" si="1"/>
        <v>8583</v>
      </c>
      <c r="H14">
        <f t="shared" si="1"/>
        <v>8130</v>
      </c>
      <c r="I14">
        <f t="shared" si="1"/>
        <v>7675</v>
      </c>
      <c r="J14">
        <f t="shared" si="1"/>
        <v>7449</v>
      </c>
      <c r="K14">
        <f t="shared" si="1"/>
        <v>6768</v>
      </c>
    </row>
    <row r="15" spans="1:23" ht="12.75" hidden="1" customHeight="1" x14ac:dyDescent="0.25">
      <c r="A15" s="65" t="s">
        <v>283</v>
      </c>
      <c r="C15" t="s">
        <v>29</v>
      </c>
      <c r="D15" t="s">
        <v>284</v>
      </c>
    </row>
    <row r="16" spans="1:23" ht="12.75" hidden="1" customHeight="1" x14ac:dyDescent="0.25">
      <c r="A16" s="65" t="s">
        <v>997</v>
      </c>
      <c r="B16" t="s">
        <v>273</v>
      </c>
    </row>
    <row r="17" spans="1:23" ht="12.75" hidden="1" customHeight="1" x14ac:dyDescent="0.25">
      <c r="A17" t="s">
        <v>274</v>
      </c>
      <c r="B17" t="s">
        <v>143</v>
      </c>
      <c r="C17">
        <v>2010</v>
      </c>
      <c r="D17">
        <v>2015</v>
      </c>
      <c r="E17">
        <v>2020</v>
      </c>
      <c r="F17">
        <v>2025</v>
      </c>
      <c r="G17">
        <v>2030</v>
      </c>
      <c r="H17">
        <v>2035</v>
      </c>
      <c r="I17">
        <v>2040</v>
      </c>
      <c r="J17">
        <v>2045</v>
      </c>
      <c r="K17">
        <v>2050</v>
      </c>
    </row>
    <row r="18" spans="1:23" ht="12.75" hidden="1" customHeight="1" x14ac:dyDescent="0.25">
      <c r="A18" t="s">
        <v>275</v>
      </c>
    </row>
    <row r="19" spans="1:23" ht="12.75" hidden="1" customHeight="1" x14ac:dyDescent="0.25">
      <c r="A19" t="s">
        <v>276</v>
      </c>
      <c r="B19" t="s">
        <v>65</v>
      </c>
      <c r="C19">
        <v>228</v>
      </c>
      <c r="D19">
        <v>218</v>
      </c>
      <c r="E19">
        <v>208</v>
      </c>
      <c r="F19">
        <v>303</v>
      </c>
      <c r="G19">
        <v>398</v>
      </c>
      <c r="H19">
        <v>533</v>
      </c>
      <c r="I19">
        <v>667</v>
      </c>
      <c r="J19">
        <v>735</v>
      </c>
      <c r="K19">
        <v>937</v>
      </c>
    </row>
    <row r="20" spans="1:23" ht="12.75" hidden="1" customHeight="1" x14ac:dyDescent="0.25">
      <c r="A20" t="s">
        <v>277</v>
      </c>
      <c r="B20" t="s">
        <v>65</v>
      </c>
      <c r="C20">
        <v>10.500999999999999</v>
      </c>
      <c r="D20">
        <v>12.866</v>
      </c>
      <c r="E20">
        <v>15.231</v>
      </c>
      <c r="F20">
        <v>12.826000000000001</v>
      </c>
      <c r="G20">
        <v>10.420999999999999</v>
      </c>
      <c r="H20">
        <v>10.022</v>
      </c>
      <c r="I20">
        <v>9.6229999999999993</v>
      </c>
      <c r="J20">
        <v>9.423</v>
      </c>
      <c r="K20">
        <v>8.8239999999999998</v>
      </c>
    </row>
    <row r="21" spans="1:23" ht="12.75" hidden="1" customHeight="1" x14ac:dyDescent="0.25">
      <c r="A21" t="s">
        <v>278</v>
      </c>
      <c r="B21" t="s">
        <v>65</v>
      </c>
      <c r="C21">
        <v>19.157</v>
      </c>
      <c r="D21">
        <v>20.052</v>
      </c>
      <c r="E21">
        <v>20.946999999999999</v>
      </c>
      <c r="F21">
        <v>25.061</v>
      </c>
      <c r="G21">
        <v>29.175000000000001</v>
      </c>
      <c r="H21">
        <v>27.748999999999999</v>
      </c>
      <c r="I21">
        <v>26.323</v>
      </c>
      <c r="J21">
        <v>25.609000000000002</v>
      </c>
      <c r="K21">
        <v>23.47</v>
      </c>
    </row>
    <row r="22" spans="1:23" ht="12.75" hidden="1" customHeight="1" x14ac:dyDescent="0.25">
      <c r="A22" t="s">
        <v>279</v>
      </c>
      <c r="B22" t="s">
        <v>65</v>
      </c>
      <c r="C22">
        <v>0</v>
      </c>
      <c r="D22">
        <v>200</v>
      </c>
      <c r="E22">
        <v>399</v>
      </c>
      <c r="F22">
        <v>947</v>
      </c>
      <c r="G22">
        <v>1.494</v>
      </c>
      <c r="H22">
        <v>1.3839999999999999</v>
      </c>
      <c r="I22">
        <v>1.274</v>
      </c>
      <c r="J22">
        <v>1.218</v>
      </c>
      <c r="K22">
        <v>1.0529999999999999</v>
      </c>
    </row>
    <row r="23" spans="1:23" ht="12.75" hidden="1" customHeight="1" x14ac:dyDescent="0.25">
      <c r="A23" t="s">
        <v>280</v>
      </c>
      <c r="B23" t="s">
        <v>65</v>
      </c>
      <c r="C23">
        <v>0</v>
      </c>
      <c r="D23">
        <v>577</v>
      </c>
      <c r="E23">
        <v>1.1539999999999999</v>
      </c>
      <c r="F23">
        <v>1.1559999999999999</v>
      </c>
      <c r="G23">
        <v>1.1579999999999999</v>
      </c>
      <c r="H23">
        <v>1.1140000000000001</v>
      </c>
      <c r="I23">
        <v>1.069</v>
      </c>
      <c r="J23">
        <v>1.0469999999999999</v>
      </c>
      <c r="K23">
        <v>980</v>
      </c>
    </row>
    <row r="24" spans="1:23" ht="12.75" hidden="1" customHeight="1" x14ac:dyDescent="0.25">
      <c r="B24" s="647" t="s">
        <v>154</v>
      </c>
      <c r="C24" s="15">
        <f>C23/C27</f>
        <v>0</v>
      </c>
      <c r="D24" s="15">
        <f t="shared" ref="D24:K24" si="2">D23/D27</f>
        <v>1.6355802483133966E-2</v>
      </c>
      <c r="E24" s="15">
        <f t="shared" si="2"/>
        <v>2.837402571857097E-5</v>
      </c>
      <c r="F24" s="15">
        <f t="shared" si="2"/>
        <v>2.6468231253577561E-5</v>
      </c>
      <c r="G24" s="15">
        <f t="shared" si="2"/>
        <v>2.4807197943444727E-4</v>
      </c>
      <c r="H24" s="15">
        <f t="shared" si="2"/>
        <v>2.4878844049400364E-5</v>
      </c>
      <c r="I24" s="15">
        <f t="shared" si="2"/>
        <v>2.4932944606413994E-5</v>
      </c>
      <c r="J24" s="15">
        <f t="shared" si="2"/>
        <v>2.4974357751115138E-5</v>
      </c>
      <c r="K24" s="15">
        <f t="shared" si="2"/>
        <v>2.5083826051345057E-2</v>
      </c>
    </row>
    <row r="25" spans="1:23" ht="12.75" hidden="1" customHeight="1" x14ac:dyDescent="0.25">
      <c r="A25" t="s">
        <v>281</v>
      </c>
      <c r="B25" t="s">
        <v>65</v>
      </c>
      <c r="C25">
        <v>0</v>
      </c>
      <c r="D25">
        <v>1.1659999999999999</v>
      </c>
      <c r="E25">
        <v>2.3319999999999999</v>
      </c>
      <c r="F25">
        <v>2.4359999999999999</v>
      </c>
      <c r="G25">
        <v>2.5390000000000001</v>
      </c>
      <c r="H25">
        <v>2.496</v>
      </c>
      <c r="I25">
        <v>2.452</v>
      </c>
      <c r="J25">
        <v>2.4300000000000002</v>
      </c>
      <c r="K25">
        <v>2.3650000000000002</v>
      </c>
    </row>
    <row r="26" spans="1:23" ht="12.75" hidden="1" customHeight="1" x14ac:dyDescent="0.25">
      <c r="A26" t="s">
        <v>13</v>
      </c>
      <c r="B26" t="s">
        <v>65</v>
      </c>
      <c r="C26">
        <v>0</v>
      </c>
      <c r="D26">
        <v>200</v>
      </c>
      <c r="E26">
        <v>399</v>
      </c>
      <c r="F26">
        <v>947</v>
      </c>
      <c r="G26">
        <v>1.494</v>
      </c>
      <c r="H26">
        <v>1.4810000000000001</v>
      </c>
      <c r="I26">
        <v>1.4670000000000001</v>
      </c>
      <c r="J26">
        <v>1.4610000000000001</v>
      </c>
      <c r="K26">
        <v>1.4410000000000001</v>
      </c>
    </row>
    <row r="27" spans="1:23" ht="12.75" hidden="1" customHeight="1" x14ac:dyDescent="0.25">
      <c r="A27" t="s">
        <v>282</v>
      </c>
      <c r="C27">
        <v>29886</v>
      </c>
      <c r="D27">
        <v>35278</v>
      </c>
      <c r="E27">
        <v>40671</v>
      </c>
      <c r="F27">
        <v>43675</v>
      </c>
      <c r="G27">
        <v>4668</v>
      </c>
      <c r="H27">
        <v>44777</v>
      </c>
      <c r="I27">
        <v>42875</v>
      </c>
      <c r="J27">
        <v>41923</v>
      </c>
      <c r="K27">
        <v>39069</v>
      </c>
    </row>
    <row r="28" spans="1:23" ht="12.75" hidden="1" customHeight="1" x14ac:dyDescent="0.25"/>
    <row r="29" spans="1:23" ht="12.75" hidden="1" customHeight="1" x14ac:dyDescent="0.25"/>
    <row r="30" spans="1:23" ht="12.75" hidden="1" customHeight="1" x14ac:dyDescent="0.25">
      <c r="A30" s="12" t="s">
        <v>285</v>
      </c>
      <c r="B30" t="s">
        <v>273</v>
      </c>
    </row>
    <row r="31" spans="1:23" ht="12.75" hidden="1" customHeight="1" x14ac:dyDescent="0.25">
      <c r="A31" t="s">
        <v>274</v>
      </c>
      <c r="B31" t="s">
        <v>143</v>
      </c>
      <c r="C31">
        <v>2010</v>
      </c>
      <c r="D31">
        <v>2015</v>
      </c>
      <c r="E31">
        <v>2020</v>
      </c>
      <c r="F31">
        <v>2025</v>
      </c>
      <c r="G31">
        <v>2030</v>
      </c>
      <c r="H31">
        <v>2035</v>
      </c>
      <c r="I31">
        <v>2040</v>
      </c>
      <c r="J31">
        <v>2045</v>
      </c>
      <c r="K31">
        <v>2050</v>
      </c>
      <c r="M31" t="s">
        <v>143</v>
      </c>
      <c r="O31">
        <v>2010</v>
      </c>
      <c r="P31">
        <v>2015</v>
      </c>
      <c r="Q31">
        <v>2020</v>
      </c>
      <c r="R31">
        <v>2025</v>
      </c>
      <c r="S31">
        <v>2030</v>
      </c>
      <c r="T31">
        <v>2035</v>
      </c>
      <c r="U31">
        <v>2040</v>
      </c>
      <c r="V31">
        <v>2045</v>
      </c>
      <c r="W31">
        <v>2050</v>
      </c>
    </row>
    <row r="32" spans="1:23" ht="12.75" hidden="1" customHeight="1" x14ac:dyDescent="0.25">
      <c r="A32" t="s">
        <v>275</v>
      </c>
    </row>
    <row r="33" spans="1:23" ht="12.75" hidden="1" customHeight="1" x14ac:dyDescent="0.25">
      <c r="A33" t="s">
        <v>276</v>
      </c>
      <c r="B33" t="s">
        <v>65</v>
      </c>
      <c r="C33">
        <v>228</v>
      </c>
      <c r="D33">
        <v>211</v>
      </c>
      <c r="E33">
        <v>195</v>
      </c>
      <c r="F33">
        <v>334</v>
      </c>
      <c r="G33">
        <v>473</v>
      </c>
      <c r="H33">
        <v>659</v>
      </c>
      <c r="I33">
        <v>844</v>
      </c>
      <c r="J33">
        <v>937</v>
      </c>
      <c r="K33">
        <v>1215</v>
      </c>
      <c r="M33" t="s">
        <v>16</v>
      </c>
      <c r="N33" t="s">
        <v>276</v>
      </c>
      <c r="O33">
        <v>5</v>
      </c>
      <c r="P33">
        <v>5</v>
      </c>
      <c r="Q33">
        <v>5</v>
      </c>
      <c r="R33">
        <v>8</v>
      </c>
      <c r="S33">
        <v>11</v>
      </c>
      <c r="T33">
        <v>16</v>
      </c>
      <c r="U33">
        <v>20</v>
      </c>
      <c r="V33">
        <v>22</v>
      </c>
      <c r="W33">
        <v>29</v>
      </c>
    </row>
    <row r="34" spans="1:23" ht="12.75" hidden="1" customHeight="1" x14ac:dyDescent="0.25">
      <c r="A34" t="s">
        <v>277</v>
      </c>
      <c r="B34" t="s">
        <v>65</v>
      </c>
      <c r="C34">
        <v>10501</v>
      </c>
      <c r="D34">
        <v>10351</v>
      </c>
      <c r="E34">
        <v>10200</v>
      </c>
      <c r="F34">
        <v>10276</v>
      </c>
      <c r="G34">
        <v>10351</v>
      </c>
      <c r="H34">
        <v>9282</v>
      </c>
      <c r="I34">
        <v>8212</v>
      </c>
      <c r="J34">
        <v>7677</v>
      </c>
      <c r="K34">
        <v>6073</v>
      </c>
      <c r="M34" t="s">
        <v>16</v>
      </c>
      <c r="N34" t="s">
        <v>277</v>
      </c>
      <c r="O34">
        <v>251</v>
      </c>
      <c r="P34">
        <v>247</v>
      </c>
      <c r="Q34">
        <v>244</v>
      </c>
      <c r="R34">
        <v>245</v>
      </c>
      <c r="S34">
        <v>247</v>
      </c>
      <c r="T34">
        <v>222</v>
      </c>
      <c r="U34">
        <v>196</v>
      </c>
      <c r="V34">
        <v>183</v>
      </c>
      <c r="W34">
        <v>145</v>
      </c>
    </row>
    <row r="35" spans="1:23" ht="12.75" hidden="1" customHeight="1" x14ac:dyDescent="0.25">
      <c r="A35" t="s">
        <v>278</v>
      </c>
      <c r="B35" t="s">
        <v>65</v>
      </c>
      <c r="C35">
        <v>19157</v>
      </c>
      <c r="D35">
        <v>20094</v>
      </c>
      <c r="E35">
        <v>21031</v>
      </c>
      <c r="F35">
        <v>19842</v>
      </c>
      <c r="G35">
        <v>18654</v>
      </c>
      <c r="H35">
        <v>18465</v>
      </c>
      <c r="I35">
        <v>18275</v>
      </c>
      <c r="J35">
        <v>18181</v>
      </c>
      <c r="K35">
        <v>17897</v>
      </c>
      <c r="M35" t="s">
        <v>16</v>
      </c>
      <c r="N35" t="s">
        <v>278</v>
      </c>
      <c r="O35">
        <v>458</v>
      </c>
      <c r="P35">
        <v>480</v>
      </c>
      <c r="Q35">
        <v>502</v>
      </c>
      <c r="R35">
        <v>474</v>
      </c>
      <c r="S35">
        <v>446</v>
      </c>
      <c r="T35">
        <v>441</v>
      </c>
      <c r="U35">
        <v>436</v>
      </c>
      <c r="V35">
        <v>434</v>
      </c>
      <c r="W35">
        <v>427</v>
      </c>
    </row>
    <row r="36" spans="1:23" ht="12.75" hidden="1" customHeight="1" x14ac:dyDescent="0.25">
      <c r="A36" t="s">
        <v>279</v>
      </c>
      <c r="B36" t="s">
        <v>65</v>
      </c>
      <c r="C36">
        <v>0</v>
      </c>
      <c r="D36">
        <v>339</v>
      </c>
      <c r="E36">
        <v>678</v>
      </c>
      <c r="F36">
        <v>2157</v>
      </c>
      <c r="G36">
        <v>3636</v>
      </c>
      <c r="H36">
        <v>3456</v>
      </c>
      <c r="I36">
        <v>3276</v>
      </c>
      <c r="J36">
        <v>3186</v>
      </c>
      <c r="K36">
        <v>2916</v>
      </c>
      <c r="M36" t="s">
        <v>16</v>
      </c>
      <c r="N36" t="s">
        <v>279</v>
      </c>
      <c r="O36">
        <v>0</v>
      </c>
      <c r="P36">
        <v>8</v>
      </c>
      <c r="Q36">
        <v>16</v>
      </c>
      <c r="R36">
        <v>52</v>
      </c>
      <c r="S36">
        <v>87</v>
      </c>
      <c r="T36">
        <v>83</v>
      </c>
      <c r="U36">
        <v>78</v>
      </c>
      <c r="V36">
        <v>76</v>
      </c>
      <c r="W36">
        <v>70</v>
      </c>
    </row>
    <row r="37" spans="1:23" ht="12.75" hidden="1" customHeight="1" x14ac:dyDescent="0.25">
      <c r="A37" t="s">
        <v>280</v>
      </c>
      <c r="B37" t="s">
        <v>65</v>
      </c>
      <c r="C37">
        <v>0</v>
      </c>
      <c r="D37">
        <v>588</v>
      </c>
      <c r="E37">
        <v>1177</v>
      </c>
      <c r="F37">
        <v>1106</v>
      </c>
      <c r="G37">
        <v>1035</v>
      </c>
      <c r="H37">
        <v>950</v>
      </c>
      <c r="I37">
        <v>865</v>
      </c>
      <c r="J37">
        <v>822</v>
      </c>
      <c r="K37">
        <v>694</v>
      </c>
      <c r="M37" t="s">
        <v>16</v>
      </c>
      <c r="N37" t="s">
        <v>280</v>
      </c>
      <c r="O37">
        <v>0</v>
      </c>
      <c r="P37">
        <v>14</v>
      </c>
      <c r="Q37">
        <v>28</v>
      </c>
      <c r="R37">
        <v>26</v>
      </c>
      <c r="S37">
        <v>25</v>
      </c>
      <c r="T37">
        <v>23</v>
      </c>
      <c r="U37">
        <v>21</v>
      </c>
      <c r="V37">
        <v>20</v>
      </c>
      <c r="W37">
        <v>17</v>
      </c>
    </row>
    <row r="38" spans="1:23" ht="12.75" hidden="1" customHeight="1" x14ac:dyDescent="0.25">
      <c r="B38" t="s">
        <v>154</v>
      </c>
      <c r="C38" s="67">
        <f>C37/C41</f>
        <v>0</v>
      </c>
      <c r="D38" s="67">
        <f t="shared" ref="D38:K38" si="3">D37/D41</f>
        <v>1.8021883715940785E-2</v>
      </c>
      <c r="E38" s="67">
        <f t="shared" si="3"/>
        <v>3.3279610936748943E-2</v>
      </c>
      <c r="F38" s="67">
        <f t="shared" si="3"/>
        <v>2.9667381974248928E-2</v>
      </c>
      <c r="G38" s="67">
        <f t="shared" si="3"/>
        <v>2.6407776898936034E-2</v>
      </c>
      <c r="H38" s="67">
        <f t="shared" si="3"/>
        <v>2.5013823428736932E-2</v>
      </c>
      <c r="I38" s="67">
        <f t="shared" si="3"/>
        <v>2.3527171843551107E-2</v>
      </c>
      <c r="J38" s="67">
        <f t="shared" si="3"/>
        <v>2.273292956110512E-2</v>
      </c>
      <c r="K38" s="67">
        <f t="shared" si="3"/>
        <v>2.0210256559596958E-2</v>
      </c>
    </row>
    <row r="39" spans="1:23" ht="12.75" hidden="1" customHeight="1" x14ac:dyDescent="0.25">
      <c r="A39" t="s">
        <v>281</v>
      </c>
      <c r="B39" t="s">
        <v>65</v>
      </c>
      <c r="C39">
        <v>0</v>
      </c>
      <c r="D39">
        <v>409</v>
      </c>
      <c r="E39">
        <v>817</v>
      </c>
      <c r="F39">
        <v>468</v>
      </c>
      <c r="G39">
        <v>119</v>
      </c>
      <c r="H39">
        <v>101</v>
      </c>
      <c r="I39">
        <v>82</v>
      </c>
      <c r="J39">
        <v>73</v>
      </c>
      <c r="K39">
        <v>46</v>
      </c>
      <c r="M39" t="s">
        <v>16</v>
      </c>
      <c r="N39" t="s">
        <v>281</v>
      </c>
      <c r="O39">
        <v>0</v>
      </c>
      <c r="P39">
        <v>10</v>
      </c>
      <c r="Q39">
        <v>20</v>
      </c>
      <c r="R39">
        <v>11</v>
      </c>
      <c r="S39">
        <v>3</v>
      </c>
      <c r="T39">
        <v>2</v>
      </c>
      <c r="U39">
        <v>2</v>
      </c>
      <c r="V39">
        <v>2</v>
      </c>
      <c r="W39">
        <v>1</v>
      </c>
    </row>
    <row r="40" spans="1:23" ht="12.75" hidden="1" customHeight="1" x14ac:dyDescent="0.25">
      <c r="A40" t="s">
        <v>13</v>
      </c>
      <c r="B40" t="s">
        <v>65</v>
      </c>
      <c r="C40">
        <v>0</v>
      </c>
      <c r="D40">
        <v>634</v>
      </c>
      <c r="E40">
        <v>1268</v>
      </c>
      <c r="F40">
        <v>3096</v>
      </c>
      <c r="G40">
        <v>4924</v>
      </c>
      <c r="H40">
        <v>5067</v>
      </c>
      <c r="I40">
        <v>5211</v>
      </c>
      <c r="J40">
        <v>5283</v>
      </c>
      <c r="K40">
        <v>5499</v>
      </c>
      <c r="M40" t="s">
        <v>16</v>
      </c>
      <c r="N40" t="s">
        <v>13</v>
      </c>
      <c r="O40">
        <v>0</v>
      </c>
      <c r="P40">
        <v>15</v>
      </c>
      <c r="Q40">
        <v>30</v>
      </c>
      <c r="R40">
        <v>74</v>
      </c>
      <c r="S40">
        <v>118</v>
      </c>
      <c r="T40">
        <v>121</v>
      </c>
      <c r="U40">
        <v>124</v>
      </c>
      <c r="V40">
        <v>126</v>
      </c>
      <c r="W40">
        <v>131</v>
      </c>
    </row>
    <row r="41" spans="1:23" ht="12.75" hidden="1" customHeight="1" x14ac:dyDescent="0.25">
      <c r="A41" t="s">
        <v>282</v>
      </c>
      <c r="C41">
        <v>29886</v>
      </c>
      <c r="D41">
        <v>32627</v>
      </c>
      <c r="E41">
        <v>35367</v>
      </c>
      <c r="F41">
        <v>37280</v>
      </c>
      <c r="G41">
        <v>39193</v>
      </c>
      <c r="H41">
        <v>37979</v>
      </c>
      <c r="I41">
        <v>36766</v>
      </c>
      <c r="J41">
        <v>36159</v>
      </c>
      <c r="K41">
        <v>34339</v>
      </c>
      <c r="M41" t="s">
        <v>16</v>
      </c>
      <c r="O41">
        <v>714</v>
      </c>
      <c r="P41">
        <v>779</v>
      </c>
      <c r="Q41">
        <v>845</v>
      </c>
      <c r="R41">
        <v>890</v>
      </c>
      <c r="S41">
        <v>936</v>
      </c>
      <c r="T41">
        <v>907</v>
      </c>
      <c r="U41">
        <v>878</v>
      </c>
      <c r="V41">
        <v>864</v>
      </c>
      <c r="W41">
        <v>820</v>
      </c>
    </row>
    <row r="42" spans="1:23" ht="12.75" hidden="1" customHeight="1" x14ac:dyDescent="0.25">
      <c r="A42" t="s">
        <v>286</v>
      </c>
      <c r="B42" t="s">
        <v>287</v>
      </c>
    </row>
    <row r="43" spans="1:23" ht="12.75" hidden="1" customHeight="1" x14ac:dyDescent="0.25"/>
    <row r="44" spans="1:23" ht="12.75" hidden="1" customHeight="1" x14ac:dyDescent="0.25">
      <c r="A44" t="s">
        <v>288</v>
      </c>
    </row>
    <row r="45" spans="1:23" ht="12.75" hidden="1" customHeight="1" x14ac:dyDescent="0.25">
      <c r="A45" t="s">
        <v>283</v>
      </c>
      <c r="C45">
        <v>42</v>
      </c>
      <c r="D45">
        <v>228</v>
      </c>
    </row>
    <row r="46" spans="1:23" ht="12.75" hidden="1" customHeight="1" x14ac:dyDescent="0.25">
      <c r="B46" t="s">
        <v>273</v>
      </c>
    </row>
    <row r="47" spans="1:23" ht="12.75" hidden="1" customHeight="1" x14ac:dyDescent="0.25">
      <c r="A47" t="s">
        <v>274</v>
      </c>
      <c r="B47" t="s">
        <v>143</v>
      </c>
      <c r="C47">
        <v>2010</v>
      </c>
      <c r="D47">
        <v>2015</v>
      </c>
      <c r="E47">
        <v>2020</v>
      </c>
      <c r="F47">
        <v>2025</v>
      </c>
      <c r="G47">
        <v>2030</v>
      </c>
      <c r="H47">
        <v>2035</v>
      </c>
      <c r="I47">
        <v>2040</v>
      </c>
      <c r="J47">
        <v>2045</v>
      </c>
      <c r="K47">
        <v>2050</v>
      </c>
      <c r="M47" t="s">
        <v>143</v>
      </c>
      <c r="O47">
        <v>2010</v>
      </c>
      <c r="P47">
        <v>2015</v>
      </c>
      <c r="Q47">
        <v>2020</v>
      </c>
      <c r="R47">
        <v>2025</v>
      </c>
      <c r="S47">
        <v>2030</v>
      </c>
      <c r="T47">
        <v>2035</v>
      </c>
      <c r="U47">
        <v>2040</v>
      </c>
      <c r="V47">
        <v>2045</v>
      </c>
      <c r="W47">
        <v>2050</v>
      </c>
    </row>
    <row r="48" spans="1:23" ht="12.75" hidden="1" customHeight="1" x14ac:dyDescent="0.25">
      <c r="A48" t="s">
        <v>275</v>
      </c>
      <c r="O48" s="647">
        <v>2010</v>
      </c>
      <c r="P48" s="647">
        <v>2015</v>
      </c>
      <c r="Q48" s="647">
        <v>2020</v>
      </c>
      <c r="R48" s="647">
        <v>2025</v>
      </c>
      <c r="S48" s="647">
        <v>2030</v>
      </c>
      <c r="T48" s="647">
        <v>2035</v>
      </c>
      <c r="U48" s="647">
        <v>2040</v>
      </c>
      <c r="V48" s="647">
        <v>2045</v>
      </c>
      <c r="W48" s="647">
        <v>2050</v>
      </c>
    </row>
    <row r="49" spans="1:23" ht="12.75" hidden="1" customHeight="1" x14ac:dyDescent="0.25">
      <c r="A49" t="s">
        <v>276</v>
      </c>
      <c r="B49" t="s">
        <v>65</v>
      </c>
      <c r="C49">
        <v>228</v>
      </c>
      <c r="D49">
        <v>218</v>
      </c>
      <c r="E49">
        <v>208</v>
      </c>
      <c r="F49">
        <v>303</v>
      </c>
      <c r="G49">
        <v>398</v>
      </c>
      <c r="H49">
        <v>533</v>
      </c>
      <c r="I49">
        <v>667</v>
      </c>
      <c r="J49">
        <v>735</v>
      </c>
      <c r="K49">
        <v>937</v>
      </c>
      <c r="M49" t="s">
        <v>16</v>
      </c>
      <c r="N49" t="s">
        <v>276</v>
      </c>
      <c r="O49">
        <v>5</v>
      </c>
      <c r="P49">
        <v>5</v>
      </c>
      <c r="Q49">
        <v>5</v>
      </c>
      <c r="R49">
        <v>7</v>
      </c>
      <c r="S49">
        <v>10</v>
      </c>
      <c r="T49">
        <v>13</v>
      </c>
      <c r="U49">
        <v>16</v>
      </c>
      <c r="V49">
        <v>18</v>
      </c>
      <c r="W49">
        <v>22</v>
      </c>
    </row>
    <row r="50" spans="1:23" ht="12.75" hidden="1" customHeight="1" x14ac:dyDescent="0.25">
      <c r="A50" t="s">
        <v>277</v>
      </c>
      <c r="B50" t="s">
        <v>65</v>
      </c>
      <c r="C50">
        <v>10501</v>
      </c>
      <c r="D50">
        <v>12866</v>
      </c>
      <c r="E50">
        <v>15231</v>
      </c>
      <c r="F50">
        <v>12826</v>
      </c>
      <c r="G50">
        <v>10421</v>
      </c>
      <c r="H50">
        <v>10022</v>
      </c>
      <c r="I50">
        <v>9623</v>
      </c>
      <c r="J50">
        <v>9423</v>
      </c>
      <c r="K50">
        <v>8824</v>
      </c>
      <c r="M50" t="s">
        <v>16</v>
      </c>
      <c r="N50" t="s">
        <v>277</v>
      </c>
      <c r="O50">
        <v>251</v>
      </c>
      <c r="P50">
        <v>307</v>
      </c>
      <c r="Q50">
        <v>364</v>
      </c>
      <c r="R50">
        <v>306</v>
      </c>
      <c r="S50">
        <v>249</v>
      </c>
      <c r="T50">
        <v>239</v>
      </c>
      <c r="U50">
        <v>230</v>
      </c>
      <c r="V50">
        <v>225</v>
      </c>
      <c r="W50">
        <v>211</v>
      </c>
    </row>
    <row r="51" spans="1:23" ht="12.75" hidden="1" customHeight="1" x14ac:dyDescent="0.25">
      <c r="A51" t="s">
        <v>278</v>
      </c>
      <c r="B51" t="s">
        <v>65</v>
      </c>
      <c r="C51">
        <v>19157</v>
      </c>
      <c r="D51">
        <v>20052</v>
      </c>
      <c r="E51">
        <v>20947</v>
      </c>
      <c r="F51">
        <v>25061</v>
      </c>
      <c r="G51">
        <v>29175</v>
      </c>
      <c r="H51">
        <v>27749</v>
      </c>
      <c r="I51">
        <v>26323</v>
      </c>
      <c r="J51">
        <v>25609</v>
      </c>
      <c r="K51">
        <v>23470</v>
      </c>
      <c r="M51" t="s">
        <v>16</v>
      </c>
      <c r="N51" t="s">
        <v>278</v>
      </c>
      <c r="O51">
        <v>458</v>
      </c>
      <c r="P51">
        <v>479</v>
      </c>
      <c r="Q51">
        <v>500</v>
      </c>
      <c r="R51">
        <v>599</v>
      </c>
      <c r="S51">
        <v>697</v>
      </c>
      <c r="T51">
        <v>663</v>
      </c>
      <c r="U51">
        <v>629</v>
      </c>
      <c r="V51">
        <v>612</v>
      </c>
      <c r="W51">
        <v>561</v>
      </c>
    </row>
    <row r="52" spans="1:23" ht="12.75" hidden="1" customHeight="1" x14ac:dyDescent="0.25">
      <c r="A52" t="s">
        <v>279</v>
      </c>
      <c r="B52" t="s">
        <v>65</v>
      </c>
      <c r="C52">
        <v>0</v>
      </c>
      <c r="D52">
        <v>200</v>
      </c>
      <c r="E52">
        <v>399</v>
      </c>
      <c r="F52">
        <v>947</v>
      </c>
      <c r="G52">
        <v>1494</v>
      </c>
      <c r="H52">
        <v>1384</v>
      </c>
      <c r="I52">
        <v>1274</v>
      </c>
      <c r="J52">
        <v>1218</v>
      </c>
      <c r="K52">
        <v>1053</v>
      </c>
      <c r="M52" t="s">
        <v>16</v>
      </c>
      <c r="N52" t="s">
        <v>279</v>
      </c>
      <c r="O52">
        <v>0</v>
      </c>
      <c r="P52">
        <v>5</v>
      </c>
      <c r="Q52">
        <v>10</v>
      </c>
      <c r="R52">
        <v>23</v>
      </c>
      <c r="S52">
        <v>36</v>
      </c>
      <c r="T52">
        <v>33</v>
      </c>
      <c r="U52">
        <v>30</v>
      </c>
      <c r="V52">
        <v>29</v>
      </c>
      <c r="W52">
        <v>25</v>
      </c>
    </row>
    <row r="53" spans="1:23" ht="12.75" hidden="1" customHeight="1" x14ac:dyDescent="0.25">
      <c r="A53" t="s">
        <v>280</v>
      </c>
      <c r="B53" t="s">
        <v>65</v>
      </c>
      <c r="C53">
        <v>0</v>
      </c>
      <c r="D53">
        <v>577</v>
      </c>
      <c r="E53">
        <v>1154</v>
      </c>
      <c r="F53">
        <v>1156</v>
      </c>
      <c r="G53">
        <v>1158</v>
      </c>
      <c r="H53">
        <v>1114</v>
      </c>
      <c r="I53">
        <v>1069</v>
      </c>
      <c r="J53">
        <v>1047</v>
      </c>
      <c r="K53">
        <v>980</v>
      </c>
      <c r="M53" t="s">
        <v>16</v>
      </c>
      <c r="N53" t="s">
        <v>280</v>
      </c>
      <c r="O53">
        <v>0</v>
      </c>
      <c r="P53">
        <v>14</v>
      </c>
      <c r="Q53">
        <v>28</v>
      </c>
      <c r="R53">
        <v>28</v>
      </c>
      <c r="S53">
        <v>28</v>
      </c>
      <c r="T53">
        <v>27</v>
      </c>
      <c r="U53">
        <v>26</v>
      </c>
      <c r="V53">
        <v>25</v>
      </c>
      <c r="W53">
        <v>23</v>
      </c>
    </row>
    <row r="54" spans="1:23" ht="12.75" hidden="1" customHeight="1" x14ac:dyDescent="0.25">
      <c r="A54" t="s">
        <v>281</v>
      </c>
      <c r="B54" t="s">
        <v>65</v>
      </c>
      <c r="C54">
        <v>0</v>
      </c>
      <c r="D54">
        <v>1166</v>
      </c>
      <c r="E54">
        <v>2332</v>
      </c>
      <c r="F54">
        <v>2436</v>
      </c>
      <c r="G54">
        <v>2539</v>
      </c>
      <c r="H54">
        <v>2496</v>
      </c>
      <c r="I54">
        <v>2452</v>
      </c>
      <c r="J54">
        <v>2430</v>
      </c>
      <c r="K54">
        <v>2365</v>
      </c>
      <c r="M54" t="s">
        <v>16</v>
      </c>
      <c r="N54" t="s">
        <v>281</v>
      </c>
      <c r="O54">
        <v>0</v>
      </c>
      <c r="P54">
        <v>28</v>
      </c>
      <c r="Q54">
        <v>56</v>
      </c>
      <c r="R54">
        <v>58</v>
      </c>
      <c r="S54">
        <v>61</v>
      </c>
      <c r="T54">
        <v>60</v>
      </c>
      <c r="U54">
        <v>59</v>
      </c>
      <c r="V54">
        <v>58</v>
      </c>
      <c r="W54">
        <v>56</v>
      </c>
    </row>
    <row r="55" spans="1:23" ht="12.75" hidden="1" customHeight="1" x14ac:dyDescent="0.25">
      <c r="A55" t="s">
        <v>13</v>
      </c>
      <c r="B55" t="s">
        <v>65</v>
      </c>
      <c r="C55">
        <v>0</v>
      </c>
      <c r="D55">
        <v>200</v>
      </c>
      <c r="E55">
        <v>399</v>
      </c>
      <c r="F55">
        <v>947</v>
      </c>
      <c r="G55">
        <v>1494</v>
      </c>
      <c r="H55">
        <v>1481</v>
      </c>
      <c r="I55">
        <v>1467</v>
      </c>
      <c r="J55">
        <v>1461</v>
      </c>
      <c r="K55">
        <v>1441</v>
      </c>
      <c r="M55" t="s">
        <v>16</v>
      </c>
      <c r="N55" t="s">
        <v>13</v>
      </c>
      <c r="O55">
        <v>0</v>
      </c>
      <c r="P55">
        <v>5</v>
      </c>
      <c r="Q55">
        <v>10</v>
      </c>
      <c r="R55">
        <v>23</v>
      </c>
      <c r="S55">
        <v>36</v>
      </c>
      <c r="T55">
        <v>35</v>
      </c>
      <c r="U55">
        <v>35</v>
      </c>
      <c r="V55">
        <v>35</v>
      </c>
      <c r="W55">
        <v>34</v>
      </c>
    </row>
    <row r="56" spans="1:23" ht="12.75" hidden="1" customHeight="1" x14ac:dyDescent="0.25">
      <c r="A56" t="s">
        <v>282</v>
      </c>
      <c r="C56">
        <v>29886</v>
      </c>
      <c r="D56">
        <v>35278</v>
      </c>
      <c r="E56">
        <v>40671</v>
      </c>
      <c r="F56">
        <v>43675</v>
      </c>
      <c r="G56">
        <v>46680</v>
      </c>
      <c r="H56">
        <v>44777</v>
      </c>
      <c r="I56">
        <v>42875</v>
      </c>
      <c r="J56">
        <v>41923</v>
      </c>
      <c r="K56">
        <v>39069</v>
      </c>
      <c r="M56" t="s">
        <v>16</v>
      </c>
      <c r="O56">
        <v>714</v>
      </c>
      <c r="P56">
        <v>843</v>
      </c>
      <c r="Q56">
        <v>971</v>
      </c>
      <c r="R56">
        <v>1043</v>
      </c>
      <c r="S56">
        <v>1115</v>
      </c>
      <c r="T56">
        <v>1069</v>
      </c>
      <c r="U56">
        <v>1024</v>
      </c>
      <c r="V56">
        <v>1001</v>
      </c>
      <c r="W56">
        <v>933</v>
      </c>
    </row>
    <row r="59" spans="1:23" ht="12.75" customHeight="1" x14ac:dyDescent="0.25">
      <c r="A59" t="s">
        <v>1193</v>
      </c>
    </row>
    <row r="60" spans="1:23" ht="12.75" customHeight="1" x14ac:dyDescent="0.3">
      <c r="A60" s="864" t="s">
        <v>272</v>
      </c>
      <c r="B60" s="865"/>
      <c r="C60" s="866"/>
      <c r="D60" s="866"/>
      <c r="E60" s="866"/>
      <c r="F60" s="866"/>
      <c r="G60" s="866"/>
      <c r="H60" s="866"/>
      <c r="I60" s="867"/>
      <c r="J60" s="867"/>
      <c r="K60" s="867"/>
    </row>
    <row r="61" spans="1:23" ht="12.75" customHeight="1" thickBot="1" x14ac:dyDescent="0.35">
      <c r="A61" s="868"/>
      <c r="B61" s="869"/>
      <c r="C61" s="866"/>
      <c r="D61" s="866"/>
      <c r="E61" s="866"/>
      <c r="F61" s="866"/>
      <c r="G61" s="866"/>
      <c r="H61" s="866"/>
      <c r="I61" s="867"/>
      <c r="J61" s="867"/>
      <c r="K61" s="867"/>
    </row>
    <row r="62" spans="1:23" ht="12.75" customHeight="1" thickBot="1" x14ac:dyDescent="0.35">
      <c r="A62" s="864" t="s">
        <v>272</v>
      </c>
      <c r="B62" s="870" t="s">
        <v>143</v>
      </c>
      <c r="C62" s="871">
        <v>2010</v>
      </c>
      <c r="D62" s="871">
        <v>2015</v>
      </c>
      <c r="E62" s="871">
        <v>2020</v>
      </c>
      <c r="F62" s="871">
        <v>2025</v>
      </c>
      <c r="G62" s="871">
        <v>2030</v>
      </c>
      <c r="H62" s="871">
        <v>2035</v>
      </c>
      <c r="I62" s="872">
        <v>2040</v>
      </c>
      <c r="J62" s="872">
        <v>2045</v>
      </c>
      <c r="K62" s="872">
        <v>2050</v>
      </c>
    </row>
    <row r="63" spans="1:23" ht="12.75" hidden="1" customHeight="1" x14ac:dyDescent="0.3">
      <c r="A63" s="873" t="s">
        <v>275</v>
      </c>
      <c r="B63" s="874" t="s">
        <v>65</v>
      </c>
      <c r="C63" s="875"/>
      <c r="D63" s="875"/>
      <c r="E63" s="876"/>
      <c r="F63" s="875"/>
      <c r="G63" s="876"/>
      <c r="H63" s="875"/>
      <c r="I63" s="877"/>
      <c r="J63" s="877"/>
      <c r="K63" s="877"/>
    </row>
    <row r="64" spans="1:23" ht="12.75" hidden="1" customHeight="1" x14ac:dyDescent="0.3">
      <c r="A64" s="878" t="s">
        <v>276</v>
      </c>
      <c r="B64" s="874"/>
      <c r="C64" s="879">
        <v>228</v>
      </c>
      <c r="D64" s="879">
        <v>232</v>
      </c>
      <c r="E64" s="880">
        <v>235</v>
      </c>
      <c r="F64" s="879">
        <v>649</v>
      </c>
      <c r="G64" s="880">
        <v>1064</v>
      </c>
      <c r="H64" s="879">
        <v>1332</v>
      </c>
      <c r="I64" s="881">
        <v>1600</v>
      </c>
      <c r="J64" s="881">
        <v>1734</v>
      </c>
      <c r="K64" s="881">
        <v>2136</v>
      </c>
    </row>
    <row r="65" spans="1:11" ht="12.75" hidden="1" customHeight="1" x14ac:dyDescent="0.3">
      <c r="A65" s="878" t="s">
        <v>277</v>
      </c>
      <c r="B65" s="874"/>
      <c r="C65" s="879">
        <v>10501</v>
      </c>
      <c r="D65" s="879">
        <v>10730</v>
      </c>
      <c r="E65" s="880">
        <v>10958</v>
      </c>
      <c r="F65" s="879">
        <v>7823</v>
      </c>
      <c r="G65" s="880">
        <v>4688</v>
      </c>
      <c r="H65" s="879">
        <v>3892</v>
      </c>
      <c r="I65" s="881">
        <v>3096</v>
      </c>
      <c r="J65" s="881">
        <v>2698</v>
      </c>
      <c r="K65" s="881">
        <v>1504</v>
      </c>
    </row>
    <row r="66" spans="1:11" ht="12.75" hidden="1" customHeight="1" x14ac:dyDescent="0.3">
      <c r="A66" s="878" t="s">
        <v>278</v>
      </c>
      <c r="B66" s="874"/>
      <c r="C66" s="879">
        <v>19157</v>
      </c>
      <c r="D66" s="879">
        <v>17495</v>
      </c>
      <c r="E66" s="880">
        <v>15833</v>
      </c>
      <c r="F66" s="879">
        <v>14232</v>
      </c>
      <c r="G66" s="880">
        <v>12631</v>
      </c>
      <c r="H66" s="879">
        <v>10615</v>
      </c>
      <c r="I66" s="881">
        <v>8599</v>
      </c>
      <c r="J66" s="881">
        <v>7591</v>
      </c>
      <c r="K66" s="881">
        <v>4567</v>
      </c>
    </row>
    <row r="67" spans="1:11" ht="12.75" hidden="1" customHeight="1" x14ac:dyDescent="0.3">
      <c r="A67" s="878" t="s">
        <v>279</v>
      </c>
      <c r="B67" s="874"/>
      <c r="C67" s="879">
        <v>0</v>
      </c>
      <c r="D67" s="879">
        <v>518</v>
      </c>
      <c r="E67" s="880">
        <v>1035</v>
      </c>
      <c r="F67" s="879">
        <v>1885</v>
      </c>
      <c r="G67" s="880">
        <v>2735</v>
      </c>
      <c r="H67" s="879">
        <v>2470</v>
      </c>
      <c r="I67" s="881">
        <v>2205</v>
      </c>
      <c r="J67" s="881">
        <v>2073</v>
      </c>
      <c r="K67" s="881">
        <v>1675</v>
      </c>
    </row>
    <row r="68" spans="1:11" ht="12.75" hidden="1" customHeight="1" x14ac:dyDescent="0.3">
      <c r="A68" s="878" t="s">
        <v>280</v>
      </c>
      <c r="B68" s="874"/>
      <c r="C68" s="879">
        <v>0</v>
      </c>
      <c r="D68" s="879">
        <v>548</v>
      </c>
      <c r="E68" s="880">
        <v>1096</v>
      </c>
      <c r="F68" s="879">
        <v>1329</v>
      </c>
      <c r="G68" s="880">
        <v>1563</v>
      </c>
      <c r="H68" s="879">
        <v>1282</v>
      </c>
      <c r="I68" s="881">
        <v>1002</v>
      </c>
      <c r="J68" s="881">
        <v>862</v>
      </c>
      <c r="K68" s="881">
        <v>442</v>
      </c>
    </row>
    <row r="69" spans="1:11" ht="12.75" customHeight="1" x14ac:dyDescent="0.3">
      <c r="A69" s="878" t="s">
        <v>17</v>
      </c>
      <c r="B69" s="874"/>
      <c r="C69" s="897">
        <f>C68/C75</f>
        <v>0</v>
      </c>
      <c r="D69" s="897">
        <f t="shared" ref="D69:K69" si="4">D68/D75</f>
        <v>1.7922553636839349E-2</v>
      </c>
      <c r="E69" s="897">
        <f t="shared" si="4"/>
        <v>3.505293120542425E-2</v>
      </c>
      <c r="F69" s="897">
        <f t="shared" si="4"/>
        <v>4.4452620664280698E-2</v>
      </c>
      <c r="G69" s="897">
        <f t="shared" si="4"/>
        <v>5.4788278182837914E-2</v>
      </c>
      <c r="H69" s="897">
        <f t="shared" si="4"/>
        <v>5.0840736040609139E-2</v>
      </c>
      <c r="I69" s="897">
        <f t="shared" si="4"/>
        <v>4.5745069393718044E-2</v>
      </c>
      <c r="J69" s="897">
        <f t="shared" si="4"/>
        <v>4.2574208524719714E-2</v>
      </c>
      <c r="K69" s="897">
        <f t="shared" si="4"/>
        <v>2.8928594803324825E-2</v>
      </c>
    </row>
    <row r="70" spans="1:11" ht="12.75" customHeight="1" x14ac:dyDescent="0.3">
      <c r="A70" s="878" t="s">
        <v>13</v>
      </c>
      <c r="B70" s="874"/>
      <c r="C70" s="897">
        <f>C73/C75</f>
        <v>0</v>
      </c>
      <c r="D70" s="897">
        <f t="shared" ref="D70:K70" si="5">D73/D75</f>
        <v>3.1724228152799579E-2</v>
      </c>
      <c r="E70" s="897">
        <f t="shared" si="5"/>
        <v>6.2046246841718104E-2</v>
      </c>
      <c r="F70" s="897">
        <f t="shared" si="5"/>
        <v>0.13024718199150417</v>
      </c>
      <c r="G70" s="897">
        <f t="shared" si="5"/>
        <v>0.20499158721256311</v>
      </c>
      <c r="H70" s="897">
        <f t="shared" si="5"/>
        <v>0.22307265228426396</v>
      </c>
      <c r="I70" s="897">
        <f t="shared" si="5"/>
        <v>0.24657596785975164</v>
      </c>
      <c r="J70" s="897">
        <f t="shared" si="5"/>
        <v>0.26127327505309428</v>
      </c>
      <c r="K70" s="897">
        <f t="shared" si="5"/>
        <v>0.32430132862098304</v>
      </c>
    </row>
    <row r="71" spans="1:11" ht="12.75" customHeight="1" x14ac:dyDescent="0.3">
      <c r="A71" s="878"/>
      <c r="B71" s="874" t="s">
        <v>1196</v>
      </c>
      <c r="C71" s="897">
        <f>C69+C70</f>
        <v>0</v>
      </c>
      <c r="D71" s="897">
        <f t="shared" ref="D71:K71" si="6">D69+D70</f>
        <v>4.9646781789638925E-2</v>
      </c>
      <c r="E71" s="897">
        <f t="shared" si="6"/>
        <v>9.7099178047142354E-2</v>
      </c>
      <c r="F71" s="897">
        <f t="shared" si="6"/>
        <v>0.17469980265578489</v>
      </c>
      <c r="G71" s="897">
        <f t="shared" si="6"/>
        <v>0.25977986539540104</v>
      </c>
      <c r="H71" s="897">
        <f t="shared" si="6"/>
        <v>0.27391338832487311</v>
      </c>
      <c r="I71" s="897">
        <f t="shared" si="6"/>
        <v>0.2923210372534697</v>
      </c>
      <c r="J71" s="897">
        <f t="shared" si="6"/>
        <v>0.30384748357781399</v>
      </c>
      <c r="K71" s="897">
        <f t="shared" si="6"/>
        <v>0.35322992342430787</v>
      </c>
    </row>
    <row r="72" spans="1:11" ht="12.75" customHeight="1" x14ac:dyDescent="0.3">
      <c r="A72" s="878" t="s">
        <v>281</v>
      </c>
      <c r="B72" s="874"/>
      <c r="C72" s="879">
        <v>0</v>
      </c>
      <c r="D72" s="879">
        <v>85</v>
      </c>
      <c r="E72" s="880">
        <v>170</v>
      </c>
      <c r="F72" s="879">
        <v>85</v>
      </c>
      <c r="G72" s="880">
        <v>0</v>
      </c>
      <c r="H72" s="879">
        <v>0</v>
      </c>
      <c r="I72" s="881">
        <v>0</v>
      </c>
      <c r="J72" s="881">
        <v>0</v>
      </c>
      <c r="K72" s="881">
        <v>0</v>
      </c>
    </row>
    <row r="73" spans="1:11" ht="12.75" customHeight="1" x14ac:dyDescent="0.3">
      <c r="A73" s="878" t="s">
        <v>13</v>
      </c>
      <c r="B73" s="874"/>
      <c r="C73" s="879">
        <v>0</v>
      </c>
      <c r="D73" s="879">
        <v>970</v>
      </c>
      <c r="E73" s="880">
        <v>1940</v>
      </c>
      <c r="F73" s="879">
        <v>3894</v>
      </c>
      <c r="G73" s="880">
        <v>5848</v>
      </c>
      <c r="H73" s="879">
        <v>5625</v>
      </c>
      <c r="I73" s="881">
        <v>5401</v>
      </c>
      <c r="J73" s="881">
        <v>5290</v>
      </c>
      <c r="K73" s="881">
        <v>4955</v>
      </c>
    </row>
    <row r="74" spans="1:11" ht="12.75" customHeight="1" x14ac:dyDescent="0.3">
      <c r="A74" s="892"/>
      <c r="B74" s="893"/>
      <c r="C74" s="894"/>
      <c r="D74" s="894"/>
      <c r="E74" s="895"/>
      <c r="F74" s="894"/>
      <c r="G74" s="895"/>
      <c r="H74" s="894"/>
      <c r="I74" s="896"/>
      <c r="J74" s="896"/>
      <c r="K74" s="896"/>
    </row>
    <row r="75" spans="1:11" ht="12.75" customHeight="1" x14ac:dyDescent="0.3">
      <c r="A75" s="882" t="s">
        <v>282</v>
      </c>
      <c r="B75" s="883"/>
      <c r="C75" s="884">
        <v>29886</v>
      </c>
      <c r="D75" s="884">
        <v>30576</v>
      </c>
      <c r="E75" s="885">
        <v>31267</v>
      </c>
      <c r="F75" s="884">
        <v>29897</v>
      </c>
      <c r="G75" s="885">
        <v>28528</v>
      </c>
      <c r="H75" s="884">
        <v>25216</v>
      </c>
      <c r="I75" s="886">
        <v>21904</v>
      </c>
      <c r="J75" s="886">
        <v>20247</v>
      </c>
      <c r="K75" s="886">
        <v>15279</v>
      </c>
    </row>
    <row r="76" spans="1:11" ht="12.75" customHeight="1" x14ac:dyDescent="0.3">
      <c r="A76" s="882"/>
      <c r="B76" s="883"/>
      <c r="C76" s="884"/>
      <c r="D76" s="884"/>
      <c r="E76" s="885"/>
      <c r="F76" s="884"/>
      <c r="G76" s="885"/>
      <c r="H76" s="884"/>
      <c r="I76" s="886"/>
      <c r="J76" s="886"/>
      <c r="K76" s="886"/>
    </row>
    <row r="77" spans="1:11" ht="12.75" customHeight="1" x14ac:dyDescent="0.3">
      <c r="A77" s="887" t="s">
        <v>1194</v>
      </c>
      <c r="B77" s="888" t="s">
        <v>1195</v>
      </c>
      <c r="C77" s="889">
        <v>2313335</v>
      </c>
      <c r="D77" s="889">
        <v>2201513</v>
      </c>
      <c r="E77" s="890">
        <v>2089691</v>
      </c>
      <c r="F77" s="889">
        <v>1720268</v>
      </c>
      <c r="G77" s="890">
        <v>1350845</v>
      </c>
      <c r="H77" s="889">
        <v>1131513</v>
      </c>
      <c r="I77" s="891">
        <v>912181</v>
      </c>
      <c r="J77" s="891">
        <v>601918</v>
      </c>
      <c r="K77" s="891">
        <v>473517</v>
      </c>
    </row>
    <row r="78" spans="1:11" ht="12.75" customHeight="1" x14ac:dyDescent="0.25">
      <c r="C78" s="67">
        <f>C72/C75</f>
        <v>0</v>
      </c>
      <c r="D78" s="67">
        <f t="shared" ref="D78:K78" si="7">D72/D75</f>
        <v>2.7799581371009941E-3</v>
      </c>
      <c r="E78" s="67">
        <f t="shared" si="7"/>
        <v>5.4370422490165353E-3</v>
      </c>
      <c r="F78" s="67">
        <f t="shared" si="7"/>
        <v>2.8430946248787503E-3</v>
      </c>
      <c r="G78" s="67">
        <f t="shared" si="7"/>
        <v>0</v>
      </c>
      <c r="H78" s="67">
        <f t="shared" si="7"/>
        <v>0</v>
      </c>
      <c r="I78" s="67">
        <f t="shared" si="7"/>
        <v>0</v>
      </c>
      <c r="J78" s="67">
        <f t="shared" si="7"/>
        <v>0</v>
      </c>
      <c r="K78" s="67">
        <f t="shared" si="7"/>
        <v>0</v>
      </c>
    </row>
    <row r="79" spans="1:11" ht="12.75" customHeight="1" x14ac:dyDescent="0.3">
      <c r="B79" s="899"/>
      <c r="C79" s="934">
        <f>C71+C78</f>
        <v>0</v>
      </c>
      <c r="D79" s="934">
        <f t="shared" ref="D79:K79" si="8">D71+D78</f>
        <v>5.2426739926739921E-2</v>
      </c>
      <c r="E79" s="934">
        <f t="shared" si="8"/>
        <v>0.10253622029615889</v>
      </c>
      <c r="F79" s="934">
        <f t="shared" si="8"/>
        <v>0.17754289728066364</v>
      </c>
      <c r="G79" s="934">
        <f t="shared" si="8"/>
        <v>0.25977986539540104</v>
      </c>
      <c r="H79" s="934">
        <f t="shared" si="8"/>
        <v>0.27391338832487311</v>
      </c>
      <c r="I79" s="934">
        <f t="shared" si="8"/>
        <v>0.2923210372534697</v>
      </c>
      <c r="J79" s="934">
        <f t="shared" si="8"/>
        <v>0.30384748357781399</v>
      </c>
      <c r="K79" s="934">
        <f t="shared" si="8"/>
        <v>0.35322992342430787</v>
      </c>
    </row>
    <row r="80" spans="1:11" ht="15" customHeight="1" thickBot="1" x14ac:dyDescent="0.35">
      <c r="A80" s="902"/>
      <c r="B80" s="903"/>
      <c r="C80" s="900"/>
      <c r="D80" s="900"/>
      <c r="E80" s="900"/>
      <c r="F80" s="900"/>
      <c r="G80" s="900"/>
      <c r="H80" s="900"/>
      <c r="I80" s="901"/>
      <c r="J80" s="901"/>
      <c r="K80" s="901"/>
    </row>
    <row r="81" spans="1:14" ht="12.75" customHeight="1" thickBot="1" x14ac:dyDescent="0.35">
      <c r="A81" s="898" t="s">
        <v>1197</v>
      </c>
      <c r="B81" s="904" t="s">
        <v>143</v>
      </c>
      <c r="C81" s="905">
        <v>2010</v>
      </c>
      <c r="D81" s="905">
        <v>2015</v>
      </c>
      <c r="E81" s="905">
        <v>2020</v>
      </c>
      <c r="F81" s="905">
        <v>2025</v>
      </c>
      <c r="G81" s="905">
        <v>2030</v>
      </c>
      <c r="H81" s="905">
        <v>2035</v>
      </c>
      <c r="I81" s="906">
        <v>2040</v>
      </c>
      <c r="J81" s="906">
        <v>2045</v>
      </c>
      <c r="K81" s="906">
        <v>2050</v>
      </c>
    </row>
    <row r="82" spans="1:14" ht="12.75" hidden="1" customHeight="1" x14ac:dyDescent="0.3">
      <c r="A82" s="907" t="s">
        <v>275</v>
      </c>
      <c r="B82" s="908" t="s">
        <v>65</v>
      </c>
      <c r="C82" s="909"/>
      <c r="D82" s="909"/>
      <c r="E82" s="910"/>
      <c r="F82" s="909"/>
      <c r="G82" s="910"/>
      <c r="H82" s="909"/>
      <c r="I82" s="911"/>
      <c r="J82" s="911"/>
      <c r="K82" s="911"/>
    </row>
    <row r="83" spans="1:14" ht="12.75" hidden="1" customHeight="1" x14ac:dyDescent="0.3">
      <c r="A83" s="912" t="s">
        <v>276</v>
      </c>
      <c r="B83" s="913"/>
      <c r="C83" s="914">
        <v>228</v>
      </c>
      <c r="D83" s="914">
        <v>209.4813399775885</v>
      </c>
      <c r="E83" s="915">
        <v>190.96267995517698</v>
      </c>
      <c r="F83" s="914">
        <v>334.65165016648069</v>
      </c>
      <c r="G83" s="915">
        <v>478.34062037778438</v>
      </c>
      <c r="H83" s="914">
        <v>662.51486909910864</v>
      </c>
      <c r="I83" s="916">
        <v>846.68911782043301</v>
      </c>
      <c r="J83" s="916">
        <v>938.7762421810952</v>
      </c>
      <c r="K83" s="916">
        <v>1215.0376152630818</v>
      </c>
    </row>
    <row r="84" spans="1:14" ht="12.75" hidden="1" customHeight="1" x14ac:dyDescent="0.3">
      <c r="A84" s="912" t="s">
        <v>277</v>
      </c>
      <c r="B84" s="913"/>
      <c r="C84" s="914">
        <v>10501.152590001275</v>
      </c>
      <c r="D84" s="914">
        <v>11429.577206539847</v>
      </c>
      <c r="E84" s="915">
        <v>12358.001823078419</v>
      </c>
      <c r="F84" s="914">
        <v>11339.094946826282</v>
      </c>
      <c r="G84" s="915">
        <v>10320.188070574146</v>
      </c>
      <c r="H84" s="914">
        <v>9258.4132984259577</v>
      </c>
      <c r="I84" s="916">
        <v>8196.6385262777694</v>
      </c>
      <c r="J84" s="916">
        <v>7665.7511402036762</v>
      </c>
      <c r="K84" s="916">
        <v>6073.0889819813938</v>
      </c>
    </row>
    <row r="85" spans="1:14" ht="12.75" hidden="1" customHeight="1" x14ac:dyDescent="0.3">
      <c r="A85" s="912" t="s">
        <v>278</v>
      </c>
      <c r="B85" s="913"/>
      <c r="C85" s="914">
        <v>19156.987701494523</v>
      </c>
      <c r="D85" s="914">
        <v>19075.567583884251</v>
      </c>
      <c r="E85" s="915">
        <v>18994.147466273982</v>
      </c>
      <c r="F85" s="914">
        <v>18817.09320720004</v>
      </c>
      <c r="G85" s="915">
        <v>18640.038948126097</v>
      </c>
      <c r="H85" s="914">
        <v>18465.572592936856</v>
      </c>
      <c r="I85" s="916">
        <v>18291.106237747619</v>
      </c>
      <c r="J85" s="916">
        <v>18203.873060153001</v>
      </c>
      <c r="K85" s="916">
        <v>17942.173527369145</v>
      </c>
    </row>
    <row r="86" spans="1:14" ht="12.75" hidden="1" customHeight="1" x14ac:dyDescent="0.3">
      <c r="A86" s="912" t="s">
        <v>279</v>
      </c>
      <c r="B86" s="913"/>
      <c r="C86" s="914">
        <v>0</v>
      </c>
      <c r="D86" s="914">
        <v>339.21154608061659</v>
      </c>
      <c r="E86" s="915">
        <v>678.42309216123317</v>
      </c>
      <c r="F86" s="914">
        <v>2154.4608538502666</v>
      </c>
      <c r="G86" s="915">
        <v>3630.4986155393003</v>
      </c>
      <c r="H86" s="914">
        <v>3451.8178297336162</v>
      </c>
      <c r="I86" s="916">
        <v>3273.1370439279317</v>
      </c>
      <c r="J86" s="916">
        <v>3183.7966510250899</v>
      </c>
      <c r="K86" s="916">
        <v>2915.7754723165635</v>
      </c>
    </row>
    <row r="87" spans="1:14" ht="12.75" hidden="1" customHeight="1" x14ac:dyDescent="0.3">
      <c r="A87" s="912" t="s">
        <v>280</v>
      </c>
      <c r="B87" s="913"/>
      <c r="C87" s="914">
        <v>0</v>
      </c>
      <c r="D87" s="914">
        <v>588.47627728944849</v>
      </c>
      <c r="E87" s="915">
        <v>1176.952554578897</v>
      </c>
      <c r="F87" s="914">
        <v>1104.4856808181557</v>
      </c>
      <c r="G87" s="915">
        <v>1032.0188070574147</v>
      </c>
      <c r="H87" s="914">
        <v>947.5309333496723</v>
      </c>
      <c r="I87" s="916">
        <v>863.04305964192986</v>
      </c>
      <c r="J87" s="916">
        <v>820.79912278805864</v>
      </c>
      <c r="K87" s="916">
        <v>694.0673122264451</v>
      </c>
    </row>
    <row r="88" spans="1:14" ht="12.75" customHeight="1" x14ac:dyDescent="0.3">
      <c r="A88" s="912" t="s">
        <v>1192</v>
      </c>
      <c r="B88" s="913"/>
      <c r="C88" s="933">
        <f>C87/C93</f>
        <v>0</v>
      </c>
      <c r="D88" s="933">
        <f t="shared" ref="D88:K88" si="9">D87/D93</f>
        <v>1.8004492535293133E-2</v>
      </c>
      <c r="E88" s="933">
        <f t="shared" si="9"/>
        <v>3.3168731701796079E-2</v>
      </c>
      <c r="F88" s="933">
        <f t="shared" si="9"/>
        <v>2.9601138447689346E-2</v>
      </c>
      <c r="G88" s="933">
        <f t="shared" si="9"/>
        <v>2.6366867832426047E-2</v>
      </c>
      <c r="H88" s="933">
        <f t="shared" si="9"/>
        <v>2.4974285047276782E-2</v>
      </c>
      <c r="I88" s="933">
        <f t="shared" si="9"/>
        <v>2.3490696342471008E-2</v>
      </c>
      <c r="J88" s="933">
        <f t="shared" si="9"/>
        <v>2.2711940681231155E-2</v>
      </c>
      <c r="K88" s="933">
        <f t="shared" si="9"/>
        <v>2.0212322510921459E-2</v>
      </c>
    </row>
    <row r="89" spans="1:14" ht="12.75" customHeight="1" x14ac:dyDescent="0.3">
      <c r="A89" s="912" t="s">
        <v>1200</v>
      </c>
      <c r="B89" s="913"/>
      <c r="C89" s="933">
        <f>C92/C93</f>
        <v>0</v>
      </c>
      <c r="D89" s="933">
        <f t="shared" ref="D89:K89" si="10">D92/D93</f>
        <v>1.9403751553639631E-2</v>
      </c>
      <c r="E89" s="933">
        <f t="shared" si="10"/>
        <v>3.5746513156612175E-2</v>
      </c>
      <c r="F89" s="933">
        <f t="shared" si="10"/>
        <v>8.2900719898732947E-2</v>
      </c>
      <c r="G89" s="933">
        <f t="shared" si="10"/>
        <v>0.12564927736854414</v>
      </c>
      <c r="H89" s="933">
        <f t="shared" si="10"/>
        <v>0.13345121010047756</v>
      </c>
      <c r="I89" s="933">
        <f t="shared" si="10"/>
        <v>0.14176300269204709</v>
      </c>
      <c r="J89" s="933">
        <f t="shared" si="10"/>
        <v>0.14612597439354941</v>
      </c>
      <c r="K89" s="933">
        <f t="shared" si="10"/>
        <v>0.1601300630755623</v>
      </c>
    </row>
    <row r="90" spans="1:14" ht="12.75" customHeight="1" x14ac:dyDescent="0.3">
      <c r="A90" s="912" t="s">
        <v>328</v>
      </c>
      <c r="B90" s="913"/>
      <c r="C90" s="933">
        <f>C88+C89</f>
        <v>0</v>
      </c>
      <c r="D90" s="933">
        <f t="shared" ref="D90:K90" si="11">D88+D89</f>
        <v>3.7408244088932764E-2</v>
      </c>
      <c r="E90" s="933">
        <f t="shared" si="11"/>
        <v>6.8915244858408248E-2</v>
      </c>
      <c r="F90" s="933">
        <f t="shared" si="11"/>
        <v>0.11250185834642229</v>
      </c>
      <c r="G90" s="933">
        <f t="shared" si="11"/>
        <v>0.15201614520097018</v>
      </c>
      <c r="H90" s="933">
        <f t="shared" si="11"/>
        <v>0.15842549514775434</v>
      </c>
      <c r="I90" s="933">
        <f t="shared" si="11"/>
        <v>0.16525369903451809</v>
      </c>
      <c r="J90" s="933">
        <f t="shared" si="11"/>
        <v>0.16883791507478058</v>
      </c>
      <c r="K90" s="933">
        <f t="shared" si="11"/>
        <v>0.18034238558648374</v>
      </c>
    </row>
    <row r="91" spans="1:14" ht="12.75" customHeight="1" x14ac:dyDescent="0.3">
      <c r="A91" s="912" t="s">
        <v>281</v>
      </c>
      <c r="B91" s="913"/>
      <c r="C91" s="914">
        <v>0</v>
      </c>
      <c r="D91" s="914">
        <v>408.44386006507523</v>
      </c>
      <c r="E91" s="915">
        <v>816.88772013015046</v>
      </c>
      <c r="F91" s="914">
        <v>469.26995015649578</v>
      </c>
      <c r="G91" s="915">
        <v>121.65218018284112</v>
      </c>
      <c r="H91" s="914">
        <v>91.239135137130845</v>
      </c>
      <c r="I91" s="916">
        <v>60.826090091420561</v>
      </c>
      <c r="J91" s="916">
        <v>45.619567568565422</v>
      </c>
      <c r="K91" s="916">
        <v>0</v>
      </c>
    </row>
    <row r="92" spans="1:14" ht="12.75" customHeight="1" x14ac:dyDescent="0.3">
      <c r="A92" s="912" t="s">
        <v>13</v>
      </c>
      <c r="B92" s="913"/>
      <c r="C92" s="914">
        <v>0</v>
      </c>
      <c r="D92" s="914">
        <v>634.21101468713482</v>
      </c>
      <c r="E92" s="915">
        <v>1268.4220293742696</v>
      </c>
      <c r="F92" s="914">
        <v>3093.2140741639159</v>
      </c>
      <c r="G92" s="915">
        <v>4918.0061189535627</v>
      </c>
      <c r="H92" s="914">
        <v>5063.1739576839991</v>
      </c>
      <c r="I92" s="916">
        <v>5208.3417964144355</v>
      </c>
      <c r="J92" s="916">
        <v>5280.9257157796537</v>
      </c>
      <c r="K92" s="916">
        <v>5498.6774738753084</v>
      </c>
    </row>
    <row r="93" spans="1:14" ht="12.75" customHeight="1" x14ac:dyDescent="0.3">
      <c r="A93" s="917" t="s">
        <v>282</v>
      </c>
      <c r="B93" s="918"/>
      <c r="C93" s="919">
        <v>29886.140291495798</v>
      </c>
      <c r="D93" s="919">
        <v>32684.968828523964</v>
      </c>
      <c r="E93" s="920">
        <v>35483.797365552127</v>
      </c>
      <c r="F93" s="919">
        <v>37312.27036318164</v>
      </c>
      <c r="G93" s="920">
        <v>39140.743360811146</v>
      </c>
      <c r="H93" s="919">
        <v>37940.262616366344</v>
      </c>
      <c r="I93" s="921">
        <v>36739.781871921536</v>
      </c>
      <c r="J93" s="921">
        <v>36139.541499699146</v>
      </c>
      <c r="K93" s="921">
        <v>34338.82038303194</v>
      </c>
    </row>
    <row r="94" spans="1:14" ht="12.75" customHeight="1" x14ac:dyDescent="0.3">
      <c r="A94" s="922" t="s">
        <v>1194</v>
      </c>
      <c r="B94" s="923" t="s">
        <v>1195</v>
      </c>
      <c r="C94" s="924">
        <v>2313334.9427366722</v>
      </c>
      <c r="D94" s="924">
        <v>2379401.2936530798</v>
      </c>
      <c r="E94" s="925">
        <v>2445467.6445694873</v>
      </c>
      <c r="F94" s="924">
        <v>2352182.6760140532</v>
      </c>
      <c r="G94" s="925">
        <v>2258897.707458619</v>
      </c>
      <c r="H94" s="924">
        <v>2162470.8995262999</v>
      </c>
      <c r="I94" s="926">
        <v>2066044.0915939803</v>
      </c>
      <c r="J94" s="926">
        <v>1117396.7725135612</v>
      </c>
      <c r="K94" s="926">
        <v>1873190.4757293419</v>
      </c>
    </row>
    <row r="95" spans="1:14" ht="12.75" customHeight="1" x14ac:dyDescent="0.25">
      <c r="A95" t="s">
        <v>940</v>
      </c>
      <c r="C95" s="67">
        <f>C91/C93</f>
        <v>0</v>
      </c>
      <c r="D95" s="67">
        <f t="shared" ref="D95:K95" si="12">D91/D93</f>
        <v>1.2496382120108644E-2</v>
      </c>
      <c r="E95" s="67">
        <f t="shared" si="12"/>
        <v>2.302142895571796E-2</v>
      </c>
      <c r="F95" s="67">
        <f t="shared" si="12"/>
        <v>1.2576826486001074E-2</v>
      </c>
      <c r="G95" s="67">
        <f t="shared" si="12"/>
        <v>3.1080702546043833E-3</v>
      </c>
      <c r="H95" s="67">
        <f t="shared" si="12"/>
        <v>2.4048103214175669E-3</v>
      </c>
      <c r="I95" s="67">
        <f t="shared" si="12"/>
        <v>1.6555920310976871E-3</v>
      </c>
      <c r="J95" s="67">
        <f t="shared" si="12"/>
        <v>1.2623172756340917E-3</v>
      </c>
      <c r="K95" s="67">
        <f t="shared" si="12"/>
        <v>0</v>
      </c>
    </row>
    <row r="96" spans="1:14" ht="12.75" customHeight="1" x14ac:dyDescent="0.25">
      <c r="C96" s="67">
        <f>C95+C90</f>
        <v>0</v>
      </c>
      <c r="D96" s="67">
        <f t="shared" ref="D96:N96" si="13">D95+D90</f>
        <v>4.990462620904141E-2</v>
      </c>
      <c r="E96" s="67">
        <f t="shared" si="13"/>
        <v>9.1936673814126207E-2</v>
      </c>
      <c r="F96" s="67">
        <f t="shared" si="13"/>
        <v>0.12507868483242338</v>
      </c>
      <c r="G96" s="67">
        <f t="shared" si="13"/>
        <v>0.15512421545557456</v>
      </c>
      <c r="H96" s="67">
        <f t="shared" si="13"/>
        <v>0.1608303054691719</v>
      </c>
      <c r="I96" s="67">
        <f t="shared" si="13"/>
        <v>0.16690929106561578</v>
      </c>
      <c r="J96" s="67">
        <f t="shared" si="13"/>
        <v>0.17010023235041466</v>
      </c>
      <c r="K96" s="67">
        <f t="shared" si="13"/>
        <v>0.18034238558648374</v>
      </c>
      <c r="L96" s="67">
        <f t="shared" si="13"/>
        <v>0</v>
      </c>
      <c r="M96" s="67">
        <f t="shared" si="13"/>
        <v>0</v>
      </c>
      <c r="N96" s="67">
        <f t="shared" si="13"/>
        <v>0</v>
      </c>
    </row>
    <row r="97" spans="1:11" ht="12.75" customHeight="1" x14ac:dyDescent="0.25">
      <c r="A97" t="s">
        <v>1150</v>
      </c>
    </row>
    <row r="98" spans="1:11" ht="12.75" customHeight="1" x14ac:dyDescent="0.25">
      <c r="A98" t="s">
        <v>1198</v>
      </c>
    </row>
    <row r="100" spans="1:11" ht="12.75" customHeight="1" x14ac:dyDescent="0.25">
      <c r="A100" t="s">
        <v>1202</v>
      </c>
      <c r="B100" t="s">
        <v>143</v>
      </c>
      <c r="C100">
        <v>2010</v>
      </c>
      <c r="D100">
        <v>2015</v>
      </c>
      <c r="E100">
        <v>2020</v>
      </c>
      <c r="F100">
        <v>2025</v>
      </c>
      <c r="G100">
        <v>2030</v>
      </c>
      <c r="H100">
        <v>2035</v>
      </c>
      <c r="I100">
        <v>2040</v>
      </c>
      <c r="J100">
        <v>2045</v>
      </c>
      <c r="K100">
        <v>2050</v>
      </c>
    </row>
    <row r="101" spans="1:11" ht="12.75" hidden="1" customHeight="1" x14ac:dyDescent="0.25">
      <c r="A101" s="648" t="s">
        <v>275</v>
      </c>
      <c r="B101" s="648" t="s">
        <v>65</v>
      </c>
      <c r="C101" s="648"/>
      <c r="D101" s="648"/>
      <c r="E101" s="648"/>
      <c r="F101" s="648"/>
      <c r="G101" s="648"/>
      <c r="H101" s="648"/>
      <c r="I101" s="648"/>
      <c r="J101" s="648"/>
      <c r="K101" s="648"/>
    </row>
    <row r="102" spans="1:11" ht="12.75" hidden="1" customHeight="1" x14ac:dyDescent="0.25">
      <c r="A102" s="648" t="s">
        <v>276</v>
      </c>
      <c r="B102" s="648"/>
      <c r="C102" s="84">
        <v>228</v>
      </c>
      <c r="D102" s="84">
        <v>217.90365597825797</v>
      </c>
      <c r="E102" s="84">
        <v>207.80731195651595</v>
      </c>
      <c r="F102" s="84">
        <v>302.88813409705426</v>
      </c>
      <c r="G102" s="84">
        <v>397.96895623759264</v>
      </c>
      <c r="H102" s="84">
        <v>532.6409872848277</v>
      </c>
      <c r="I102" s="84">
        <v>667.31301833206271</v>
      </c>
      <c r="J102" s="84">
        <v>734.64903385568027</v>
      </c>
      <c r="K102" s="84">
        <v>936.65708042653284</v>
      </c>
    </row>
    <row r="103" spans="1:11" ht="12.75" hidden="1" customHeight="1" x14ac:dyDescent="0.25">
      <c r="A103" s="648" t="s">
        <v>277</v>
      </c>
      <c r="B103" s="648"/>
      <c r="C103" s="84">
        <v>10501.152590001275</v>
      </c>
      <c r="D103" s="84">
        <v>12866.21833970031</v>
      </c>
      <c r="E103" s="84">
        <v>15231.284089399347</v>
      </c>
      <c r="F103" s="84">
        <v>14563.13376239251</v>
      </c>
      <c r="G103" s="84">
        <v>13894.983435385675</v>
      </c>
      <c r="H103" s="84">
        <v>12823.429574232108</v>
      </c>
      <c r="I103" s="84">
        <v>11751.87571307854</v>
      </c>
      <c r="J103" s="84">
        <v>11216.098782501756</v>
      </c>
      <c r="K103" s="84">
        <v>9608.7679907714046</v>
      </c>
    </row>
    <row r="104" spans="1:11" ht="12.75" hidden="1" customHeight="1" x14ac:dyDescent="0.25">
      <c r="A104" s="648" t="s">
        <v>278</v>
      </c>
      <c r="B104" s="648"/>
      <c r="C104" s="84">
        <v>19156.987701494523</v>
      </c>
      <c r="D104" s="84">
        <v>20237.515077525866</v>
      </c>
      <c r="E104" s="84">
        <v>21318.042453557213</v>
      </c>
      <c r="F104" s="84">
        <v>24043.022880534456</v>
      </c>
      <c r="G104" s="84">
        <v>26768.003307511699</v>
      </c>
      <c r="H104" s="84">
        <v>26144.28874252164</v>
      </c>
      <c r="I104" s="84">
        <v>25520.574177531576</v>
      </c>
      <c r="J104" s="84">
        <v>25208.716895036545</v>
      </c>
      <c r="K104" s="84">
        <v>24273.145047551454</v>
      </c>
    </row>
    <row r="105" spans="1:11" ht="12.75" hidden="1" customHeight="1" x14ac:dyDescent="0.25">
      <c r="A105" s="648" t="s">
        <v>279</v>
      </c>
      <c r="B105" s="648"/>
      <c r="C105" s="84">
        <v>0</v>
      </c>
      <c r="D105" s="84">
        <v>199.60485519164462</v>
      </c>
      <c r="E105" s="84">
        <v>399.20971038328923</v>
      </c>
      <c r="F105" s="84">
        <v>946.54675610664935</v>
      </c>
      <c r="G105" s="84">
        <v>1493.8838018300094</v>
      </c>
      <c r="H105" s="84">
        <v>1383.7113330403322</v>
      </c>
      <c r="I105" s="84">
        <v>1273.538864250655</v>
      </c>
      <c r="J105" s="84">
        <v>1218.4526298558164</v>
      </c>
      <c r="K105" s="84">
        <v>1053.1939266713007</v>
      </c>
    </row>
    <row r="106" spans="1:11" ht="12.75" hidden="1" customHeight="1" x14ac:dyDescent="0.25">
      <c r="A106" s="648" t="s">
        <v>280</v>
      </c>
      <c r="B106" s="648"/>
      <c r="C106" s="84">
        <v>0</v>
      </c>
      <c r="D106" s="84">
        <v>576.9425791439146</v>
      </c>
      <c r="E106" s="84">
        <v>1153.8851582878292</v>
      </c>
      <c r="F106" s="84">
        <v>1155.9002222849845</v>
      </c>
      <c r="G106" s="84">
        <v>1157.9152862821397</v>
      </c>
      <c r="H106" s="84">
        <v>1113.5580971292427</v>
      </c>
      <c r="I106" s="84">
        <v>1069.2009079763457</v>
      </c>
      <c r="J106" s="84">
        <v>1047.0223133998973</v>
      </c>
      <c r="K106" s="84">
        <v>980.48652967055182</v>
      </c>
    </row>
    <row r="107" spans="1:11" ht="12.75" customHeight="1" x14ac:dyDescent="0.3">
      <c r="A107" s="912" t="s">
        <v>1201</v>
      </c>
      <c r="B107" s="648"/>
      <c r="C107" s="933">
        <f>C106/C113</f>
        <v>0</v>
      </c>
      <c r="D107" s="933">
        <f t="shared" ref="D107:K107" si="14">D106/D113</f>
        <v>1.6360595135163469E-2</v>
      </c>
      <c r="E107" s="933">
        <f t="shared" si="14"/>
        <v>2.8391326290552313E-2</v>
      </c>
      <c r="F107" s="933">
        <f t="shared" si="14"/>
        <v>2.6464081759076805E-2</v>
      </c>
      <c r="G107" s="933">
        <f t="shared" si="14"/>
        <v>2.4787337524731862E-2</v>
      </c>
      <c r="H107" s="933">
        <f t="shared" si="14"/>
        <v>2.4861958416686713E-2</v>
      </c>
      <c r="I107" s="933">
        <f t="shared" si="14"/>
        <v>2.4943279203481942E-2</v>
      </c>
      <c r="J107" s="933">
        <f t="shared" si="14"/>
        <v>2.4986740511240037E-2</v>
      </c>
      <c r="K107" s="933">
        <f t="shared" si="14"/>
        <v>2.5129985826601097E-2</v>
      </c>
    </row>
    <row r="108" spans="1:11" ht="12.75" customHeight="1" x14ac:dyDescent="0.3">
      <c r="A108" s="912" t="s">
        <v>1200</v>
      </c>
      <c r="B108" s="648"/>
      <c r="C108" s="933">
        <f>C112/C113</f>
        <v>0</v>
      </c>
      <c r="D108" s="933">
        <f t="shared" ref="D108:K108" si="15">D112/D113</f>
        <v>0</v>
      </c>
      <c r="E108" s="933">
        <f t="shared" si="15"/>
        <v>0</v>
      </c>
      <c r="F108" s="933">
        <f t="shared" si="15"/>
        <v>0</v>
      </c>
      <c r="G108" s="933">
        <f t="shared" si="15"/>
        <v>0</v>
      </c>
      <c r="H108" s="933">
        <f t="shared" si="15"/>
        <v>0</v>
      </c>
      <c r="I108" s="933">
        <f t="shared" si="15"/>
        <v>0</v>
      </c>
      <c r="J108" s="933">
        <f t="shared" si="15"/>
        <v>0</v>
      </c>
      <c r="K108" s="933">
        <f t="shared" si="15"/>
        <v>0</v>
      </c>
    </row>
    <row r="109" spans="1:11" ht="12.75" customHeight="1" x14ac:dyDescent="0.3">
      <c r="A109" s="912" t="s">
        <v>328</v>
      </c>
      <c r="B109" s="648"/>
      <c r="C109" s="933">
        <f>C107+C108</f>
        <v>0</v>
      </c>
      <c r="D109" s="933">
        <f t="shared" ref="D109:K109" si="16">D107+D108</f>
        <v>1.6360595135163469E-2</v>
      </c>
      <c r="E109" s="933">
        <f t="shared" si="16"/>
        <v>2.8391326290552313E-2</v>
      </c>
      <c r="F109" s="933">
        <f t="shared" si="16"/>
        <v>2.6464081759076805E-2</v>
      </c>
      <c r="G109" s="933">
        <f t="shared" si="16"/>
        <v>2.4787337524731862E-2</v>
      </c>
      <c r="H109" s="933">
        <f t="shared" si="16"/>
        <v>2.4861958416686713E-2</v>
      </c>
      <c r="I109" s="933">
        <f t="shared" si="16"/>
        <v>2.4943279203481942E-2</v>
      </c>
      <c r="J109" s="933">
        <f t="shared" si="16"/>
        <v>2.4986740511240037E-2</v>
      </c>
      <c r="K109" s="933">
        <f t="shared" si="16"/>
        <v>2.5129985826601097E-2</v>
      </c>
    </row>
    <row r="110" spans="1:11" ht="12.75" customHeight="1" x14ac:dyDescent="0.25">
      <c r="A110" s="648" t="s">
        <v>281</v>
      </c>
      <c r="B110" s="648"/>
      <c r="C110" s="84">
        <v>0</v>
      </c>
      <c r="D110" s="84">
        <v>1165.9714951902856</v>
      </c>
      <c r="E110" s="84">
        <v>2331.9429903805712</v>
      </c>
      <c r="F110" s="84">
        <v>2666.5860561648315</v>
      </c>
      <c r="G110" s="84">
        <v>3001.2291219490921</v>
      </c>
      <c r="H110" s="84">
        <v>2792.0084482694383</v>
      </c>
      <c r="I110" s="84">
        <v>2582.7877745897849</v>
      </c>
      <c r="J110" s="84">
        <v>2478.1774377499578</v>
      </c>
      <c r="K110" s="84">
        <v>2164.3464272304773</v>
      </c>
    </row>
    <row r="111" spans="1:11" ht="12.75" customHeight="1" x14ac:dyDescent="0.25">
      <c r="A111" s="648"/>
      <c r="B111" s="648"/>
      <c r="C111" s="67">
        <f>C110/C113</f>
        <v>0</v>
      </c>
      <c r="D111" s="67">
        <f t="shared" ref="D111:K111" si="17">D110/D113</f>
        <v>3.3063927436687041E-2</v>
      </c>
      <c r="E111" s="67">
        <f t="shared" si="17"/>
        <v>5.7377420842383516E-2</v>
      </c>
      <c r="F111" s="67">
        <f t="shared" si="17"/>
        <v>6.105090218640144E-2</v>
      </c>
      <c r="G111" s="67">
        <f t="shared" si="17"/>
        <v>6.424691004267491E-2</v>
      </c>
      <c r="H111" s="67">
        <f t="shared" si="17"/>
        <v>6.2336036277644065E-2</v>
      </c>
      <c r="I111" s="67">
        <f t="shared" si="17"/>
        <v>6.0253593224930221E-2</v>
      </c>
      <c r="J111" s="67">
        <f t="shared" si="17"/>
        <v>5.914064656062179E-2</v>
      </c>
      <c r="K111" s="67">
        <f t="shared" si="17"/>
        <v>5.5472455147784559E-2</v>
      </c>
    </row>
    <row r="112" spans="1:11" ht="12.75" customHeight="1" x14ac:dyDescent="0.25">
      <c r="A112" s="648" t="s">
        <v>13</v>
      </c>
      <c r="B112" s="648"/>
      <c r="C112" s="84">
        <v>0</v>
      </c>
      <c r="D112" s="84">
        <v>0</v>
      </c>
      <c r="E112" s="84">
        <v>0</v>
      </c>
      <c r="F112" s="84">
        <v>0</v>
      </c>
      <c r="G112" s="84">
        <v>0</v>
      </c>
      <c r="H112" s="84">
        <v>0</v>
      </c>
      <c r="I112" s="84">
        <v>0</v>
      </c>
      <c r="J112" s="84">
        <v>0</v>
      </c>
      <c r="K112" s="84">
        <v>0</v>
      </c>
    </row>
    <row r="113" spans="1:11" ht="12.75" customHeight="1" x14ac:dyDescent="0.25">
      <c r="A113" s="648" t="s">
        <v>282</v>
      </c>
      <c r="B113" s="648"/>
      <c r="C113" s="84">
        <v>29886.140291495798</v>
      </c>
      <c r="D113" s="84">
        <v>35264.156002730277</v>
      </c>
      <c r="E113" s="84">
        <v>40642.171713964759</v>
      </c>
      <c r="F113" s="84">
        <v>43678.077811580486</v>
      </c>
      <c r="G113" s="84">
        <v>46713.983909196213</v>
      </c>
      <c r="H113" s="84">
        <v>44789.637182477585</v>
      </c>
      <c r="I113" s="84">
        <v>42865.290455758972</v>
      </c>
      <c r="J113" s="84">
        <v>41903.117092399654</v>
      </c>
      <c r="K113" s="84">
        <v>39016.597002321723</v>
      </c>
    </row>
    <row r="114" spans="1:11" ht="12.75" customHeight="1" x14ac:dyDescent="0.25">
      <c r="A114" s="648" t="s">
        <v>1194</v>
      </c>
      <c r="B114" s="648" t="s">
        <v>1195</v>
      </c>
      <c r="C114" s="84">
        <v>2313334.9427366722</v>
      </c>
      <c r="D114" s="84">
        <v>2582091.2065436416</v>
      </c>
      <c r="E114" s="84">
        <v>2850847.4703506115</v>
      </c>
      <c r="F114" s="84">
        <v>3011280.2181483032</v>
      </c>
      <c r="G114" s="84">
        <v>3171712.9659459949</v>
      </c>
      <c r="H114" s="84">
        <v>3039482.0287067918</v>
      </c>
      <c r="I114" s="84">
        <v>2907251.0914675891</v>
      </c>
      <c r="J114" s="84">
        <v>2841135.6228479873</v>
      </c>
      <c r="K114" s="84">
        <v>2642789.2169891833</v>
      </c>
    </row>
    <row r="116" spans="1:11" ht="12.75" customHeight="1" x14ac:dyDescent="0.25">
      <c r="C116" s="67">
        <f>C109+C111</f>
        <v>0</v>
      </c>
      <c r="D116" s="67">
        <f t="shared" ref="D116:K116" si="18">D109+D111</f>
        <v>4.942452257185051E-2</v>
      </c>
      <c r="E116" s="67">
        <f t="shared" si="18"/>
        <v>8.5768747132935835E-2</v>
      </c>
      <c r="F116" s="67">
        <f t="shared" si="18"/>
        <v>8.7514983945478242E-2</v>
      </c>
      <c r="G116" s="67">
        <f t="shared" si="18"/>
        <v>8.9034247567406771E-2</v>
      </c>
      <c r="H116" s="67">
        <f t="shared" si="18"/>
        <v>8.7197994694330774E-2</v>
      </c>
      <c r="I116" s="67">
        <f t="shared" si="18"/>
        <v>8.519687242841216E-2</v>
      </c>
      <c r="J116" s="67">
        <f t="shared" si="18"/>
        <v>8.412738707186182E-2</v>
      </c>
      <c r="K116" s="67">
        <f t="shared" si="18"/>
        <v>8.0602440974385653E-2</v>
      </c>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topLeftCell="C1" workbookViewId="0">
      <selection activeCell="I22" sqref="I22"/>
    </sheetView>
  </sheetViews>
  <sheetFormatPr defaultColWidth="11.5546875" defaultRowHeight="13.2" x14ac:dyDescent="0.25"/>
  <cols>
    <col min="2" max="2" width="22.44140625" customWidth="1"/>
  </cols>
  <sheetData>
    <row r="1" spans="1:18" ht="26.4" x14ac:dyDescent="0.25">
      <c r="B1" t="s">
        <v>1157</v>
      </c>
      <c r="C1" t="s">
        <v>143</v>
      </c>
      <c r="D1">
        <v>2010</v>
      </c>
      <c r="E1">
        <v>2015</v>
      </c>
      <c r="F1">
        <v>2020</v>
      </c>
      <c r="G1">
        <v>2025</v>
      </c>
      <c r="H1">
        <v>2030</v>
      </c>
      <c r="I1">
        <v>2035</v>
      </c>
      <c r="J1">
        <v>2040</v>
      </c>
      <c r="K1">
        <v>2045</v>
      </c>
      <c r="L1">
        <v>2050</v>
      </c>
      <c r="M1">
        <v>21</v>
      </c>
      <c r="N1">
        <v>22</v>
      </c>
      <c r="O1">
        <v>23</v>
      </c>
      <c r="P1">
        <v>24</v>
      </c>
      <c r="Q1">
        <v>25</v>
      </c>
    </row>
    <row r="2" spans="1:18" ht="26.4" x14ac:dyDescent="0.25">
      <c r="B2" t="s">
        <v>1158</v>
      </c>
      <c r="C2" t="s">
        <v>1156</v>
      </c>
      <c r="D2" s="323">
        <v>0</v>
      </c>
      <c r="E2" s="323">
        <v>17.611111111111111</v>
      </c>
      <c r="F2" s="323">
        <v>35.222222222222221</v>
      </c>
      <c r="G2" s="323">
        <v>86</v>
      </c>
      <c r="H2" s="323">
        <v>136.77777777777777</v>
      </c>
      <c r="I2" s="323">
        <v>140.75</v>
      </c>
      <c r="J2" s="323">
        <v>144.75</v>
      </c>
      <c r="K2" s="323">
        <v>146.74999999999997</v>
      </c>
      <c r="L2" s="323">
        <v>152.75</v>
      </c>
      <c r="M2" s="323">
        <f>F2</f>
        <v>35.222222222222221</v>
      </c>
      <c r="N2">
        <v>40</v>
      </c>
      <c r="O2">
        <v>50</v>
      </c>
      <c r="P2">
        <v>60</v>
      </c>
      <c r="Q2" s="323">
        <f>G2</f>
        <v>86</v>
      </c>
      <c r="R2" s="323">
        <f>SUM(M2:Q2)</f>
        <v>271.22222222222223</v>
      </c>
    </row>
    <row r="3" spans="1:18" ht="26.4" x14ac:dyDescent="0.25">
      <c r="B3" t="s">
        <v>1158</v>
      </c>
      <c r="C3" t="s">
        <v>147</v>
      </c>
      <c r="D3" s="84">
        <v>0</v>
      </c>
      <c r="E3" s="84">
        <v>176.11111111111111</v>
      </c>
      <c r="F3" s="84">
        <v>352.22222222222223</v>
      </c>
      <c r="G3" s="84">
        <v>860</v>
      </c>
      <c r="H3" s="84">
        <v>1367.7777777777778</v>
      </c>
      <c r="I3" s="84">
        <v>1407.5</v>
      </c>
      <c r="J3" s="84">
        <v>1447.5</v>
      </c>
      <c r="K3" s="84">
        <v>1467.4999999999998</v>
      </c>
      <c r="L3" s="84">
        <v>1527.5</v>
      </c>
      <c r="R3">
        <f>(M2+Q2)*5</f>
        <v>606.11111111111109</v>
      </c>
    </row>
    <row r="4" spans="1:18" ht="26.4" x14ac:dyDescent="0.25">
      <c r="B4" t="s">
        <v>1158</v>
      </c>
      <c r="C4" t="s">
        <v>65</v>
      </c>
      <c r="D4" s="84">
        <v>0</v>
      </c>
      <c r="E4" s="84">
        <v>634</v>
      </c>
      <c r="F4" s="84">
        <v>1268</v>
      </c>
      <c r="G4" s="84">
        <v>3096</v>
      </c>
      <c r="H4" s="84">
        <v>4924</v>
      </c>
      <c r="I4" s="84">
        <v>5067</v>
      </c>
      <c r="J4" s="84">
        <v>5211</v>
      </c>
      <c r="K4" s="84">
        <v>5282.9999999999991</v>
      </c>
      <c r="L4" s="84">
        <v>5499</v>
      </c>
    </row>
    <row r="5" spans="1:18" ht="26.4" x14ac:dyDescent="0.25">
      <c r="B5" t="s">
        <v>1158</v>
      </c>
      <c r="C5" t="s">
        <v>16</v>
      </c>
      <c r="D5" s="16">
        <v>0</v>
      </c>
      <c r="E5" s="84">
        <v>15.142455999999999</v>
      </c>
      <c r="F5" s="84">
        <v>30.284911999999998</v>
      </c>
      <c r="G5" s="84">
        <v>73.944863999999995</v>
      </c>
      <c r="H5" s="84">
        <v>117.604816</v>
      </c>
      <c r="I5" s="84">
        <v>121.02022799999999</v>
      </c>
      <c r="J5" s="84">
        <v>124.45952399999999</v>
      </c>
      <c r="K5" s="84">
        <v>126.17917199999998</v>
      </c>
      <c r="L5" s="84">
        <v>131.33811599999999</v>
      </c>
    </row>
    <row r="6" spans="1:18" ht="26.4" x14ac:dyDescent="0.25">
      <c r="B6" t="s">
        <v>151</v>
      </c>
      <c r="C6" t="s">
        <v>65</v>
      </c>
      <c r="D6" s="84">
        <v>29886</v>
      </c>
      <c r="E6" s="84">
        <v>32627</v>
      </c>
      <c r="F6" s="84">
        <v>35367</v>
      </c>
      <c r="G6" s="84">
        <v>37280</v>
      </c>
      <c r="H6" s="84">
        <v>39193</v>
      </c>
      <c r="I6" s="84">
        <v>37979</v>
      </c>
      <c r="J6" s="84">
        <v>36766</v>
      </c>
      <c r="K6" s="84">
        <v>36159</v>
      </c>
      <c r="L6" s="84">
        <v>34339</v>
      </c>
    </row>
    <row r="7" spans="1:18" ht="26.4" x14ac:dyDescent="0.25">
      <c r="B7" t="s">
        <v>151</v>
      </c>
      <c r="C7" t="s">
        <v>16</v>
      </c>
      <c r="D7">
        <v>714</v>
      </c>
      <c r="E7">
        <v>779</v>
      </c>
      <c r="F7">
        <v>845</v>
      </c>
      <c r="G7">
        <v>890</v>
      </c>
      <c r="H7">
        <v>936</v>
      </c>
      <c r="I7">
        <v>907</v>
      </c>
      <c r="J7">
        <v>878</v>
      </c>
      <c r="K7">
        <v>864</v>
      </c>
      <c r="L7">
        <v>820</v>
      </c>
    </row>
    <row r="8" spans="1:18" ht="26.4" x14ac:dyDescent="0.25">
      <c r="B8" t="s">
        <v>153</v>
      </c>
      <c r="C8" t="s">
        <v>154</v>
      </c>
      <c r="D8" s="67">
        <v>0</v>
      </c>
      <c r="E8" s="645">
        <v>1.9431758972630029E-2</v>
      </c>
      <c r="F8" s="645">
        <v>3.5852630983685359E-2</v>
      </c>
      <c r="G8" s="645">
        <v>8.3047210300429178E-2</v>
      </c>
      <c r="H8" s="645">
        <v>0.12563467966218458</v>
      </c>
      <c r="I8" s="645">
        <v>0.13341583506674742</v>
      </c>
      <c r="J8" s="645">
        <v>0.14173421095577435</v>
      </c>
      <c r="K8" s="645">
        <v>0.14610470422301503</v>
      </c>
      <c r="L8" s="645">
        <v>0.16013861789801684</v>
      </c>
    </row>
    <row r="9" spans="1:18" x14ac:dyDescent="0.25">
      <c r="D9" s="67"/>
      <c r="E9" s="645"/>
      <c r="F9" s="645"/>
      <c r="G9" s="645"/>
      <c r="H9" s="645"/>
      <c r="I9" s="645"/>
      <c r="J9" s="645"/>
      <c r="K9" s="645"/>
      <c r="L9" s="645"/>
    </row>
    <row r="10" spans="1:18" x14ac:dyDescent="0.25">
      <c r="D10" s="67"/>
      <c r="E10" s="645"/>
      <c r="F10" s="645"/>
      <c r="G10" s="645"/>
      <c r="H10" s="645"/>
      <c r="I10" s="645"/>
      <c r="J10" s="645"/>
      <c r="K10" s="645"/>
      <c r="L10" s="645"/>
    </row>
    <row r="11" spans="1:18" x14ac:dyDescent="0.25">
      <c r="D11" s="67"/>
      <c r="E11" s="645"/>
      <c r="F11" s="645"/>
      <c r="G11" s="645"/>
      <c r="H11" s="645"/>
      <c r="I11" s="645"/>
      <c r="J11" s="645"/>
      <c r="K11" s="645"/>
      <c r="L11" s="645"/>
    </row>
    <row r="12" spans="1:18" x14ac:dyDescent="0.25">
      <c r="B12" t="s">
        <v>155</v>
      </c>
      <c r="C12" t="s">
        <v>65</v>
      </c>
      <c r="D12" s="84">
        <v>0</v>
      </c>
      <c r="E12" s="84">
        <v>0</v>
      </c>
      <c r="F12" s="84">
        <v>0</v>
      </c>
      <c r="G12" s="84">
        <v>0</v>
      </c>
      <c r="H12" s="84">
        <v>0</v>
      </c>
      <c r="I12" s="84">
        <v>0</v>
      </c>
      <c r="J12" s="84">
        <v>0</v>
      </c>
      <c r="K12" s="84">
        <v>0</v>
      </c>
      <c r="L12" s="84">
        <v>0</v>
      </c>
    </row>
    <row r="13" spans="1:18" x14ac:dyDescent="0.25">
      <c r="A13">
        <v>28.89</v>
      </c>
      <c r="B13" t="s">
        <v>157</v>
      </c>
      <c r="C13" t="s">
        <v>158</v>
      </c>
      <c r="D13" s="18">
        <v>28.89</v>
      </c>
      <c r="E13" s="18">
        <v>28.89</v>
      </c>
      <c r="F13" s="18">
        <v>28.89</v>
      </c>
      <c r="G13" s="18">
        <v>28.89</v>
      </c>
      <c r="H13" s="18">
        <v>28.89</v>
      </c>
      <c r="I13" s="18">
        <v>28.89</v>
      </c>
      <c r="J13" s="18">
        <v>28.89</v>
      </c>
      <c r="K13" s="18">
        <v>28.89</v>
      </c>
      <c r="L13" s="18">
        <v>28.89</v>
      </c>
    </row>
    <row r="14" spans="1:18" ht="26.4" x14ac:dyDescent="0.25">
      <c r="A14" s="16">
        <v>17.31111111111111</v>
      </c>
      <c r="B14" t="s">
        <v>888</v>
      </c>
      <c r="C14" t="s">
        <v>158</v>
      </c>
      <c r="D14" s="18">
        <v>17.31111111111111</v>
      </c>
      <c r="E14" s="18">
        <v>17.31111111111111</v>
      </c>
      <c r="F14" s="18">
        <v>17.31111111111111</v>
      </c>
      <c r="G14" s="18">
        <v>17.31111111111111</v>
      </c>
      <c r="H14" s="18">
        <v>17.31111111111111</v>
      </c>
      <c r="I14" s="18">
        <v>17.31111111111111</v>
      </c>
      <c r="J14" s="18">
        <v>17.31111111111111</v>
      </c>
      <c r="K14" s="18">
        <v>17.31111111111111</v>
      </c>
      <c r="L14" s="18">
        <v>17.31111111111111</v>
      </c>
    </row>
    <row r="15" spans="1:18" ht="26.4" x14ac:dyDescent="0.25">
      <c r="A15" s="16" t="s">
        <v>800</v>
      </c>
      <c r="B15" t="s">
        <v>889</v>
      </c>
      <c r="C15" t="s">
        <v>158</v>
      </c>
      <c r="D15" s="18">
        <v>17.31111111111111</v>
      </c>
      <c r="E15" s="648">
        <v>20.774164299905326</v>
      </c>
      <c r="F15" s="648">
        <v>24.236525016556214</v>
      </c>
      <c r="G15" s="648">
        <v>25.967705374881657</v>
      </c>
      <c r="H15" s="648">
        <v>28.891155646225847</v>
      </c>
      <c r="I15" s="648">
        <v>28.891155646225847</v>
      </c>
      <c r="J15" s="648">
        <v>28.891155646225847</v>
      </c>
      <c r="K15" s="648">
        <v>28.891155646225847</v>
      </c>
      <c r="L15" s="648">
        <v>28.891155646225847</v>
      </c>
    </row>
    <row r="16" spans="1:18" ht="26.4" x14ac:dyDescent="0.25">
      <c r="B16" t="s">
        <v>805</v>
      </c>
      <c r="C16" t="s">
        <v>154</v>
      </c>
      <c r="D16" s="18"/>
      <c r="E16" s="646">
        <v>0.16669999999999999</v>
      </c>
      <c r="F16" s="646">
        <v>0.1428571428571429</v>
      </c>
      <c r="G16" s="646">
        <v>6.6666666666666652E-2</v>
      </c>
      <c r="H16" s="646">
        <v>0.10118841583016047</v>
      </c>
      <c r="I16" s="18"/>
      <c r="J16" s="18"/>
      <c r="K16" s="18"/>
      <c r="L16" s="18"/>
    </row>
    <row r="17" spans="1:12" ht="26.4" x14ac:dyDescent="0.25">
      <c r="B17" t="s">
        <v>891</v>
      </c>
      <c r="C17" t="s">
        <v>158</v>
      </c>
      <c r="D17" s="18">
        <v>0</v>
      </c>
      <c r="E17" s="18">
        <v>3.4630531887942162</v>
      </c>
      <c r="F17" s="18">
        <v>6.9254139054451045</v>
      </c>
      <c r="G17" s="18">
        <v>8.6565942637705469</v>
      </c>
      <c r="H17" s="18">
        <v>11.580044535114737</v>
      </c>
      <c r="I17" s="18">
        <v>11.580044535114737</v>
      </c>
      <c r="J17" s="18">
        <v>11.580044535114737</v>
      </c>
      <c r="K17" s="18">
        <v>11.580044535114737</v>
      </c>
      <c r="L17" s="18">
        <v>11.580044535114737</v>
      </c>
    </row>
    <row r="18" spans="1:12" x14ac:dyDescent="0.25">
      <c r="B18" t="s">
        <v>890</v>
      </c>
      <c r="C18" t="s">
        <v>166</v>
      </c>
      <c r="D18" s="18">
        <v>0</v>
      </c>
      <c r="E18" s="18">
        <v>1.1739750310012393</v>
      </c>
      <c r="F18" s="18">
        <v>4.6954306278917812</v>
      </c>
      <c r="G18" s="18">
        <v>18.67227382695307</v>
      </c>
      <c r="H18" s="18">
        <v>42.105041929677185</v>
      </c>
      <c r="I18" s="18">
        <v>40.020633913356534</v>
      </c>
      <c r="J18" s="18">
        <v>37.936225897035882</v>
      </c>
      <c r="K18" s="18">
        <v>36.894021888875557</v>
      </c>
      <c r="L18" s="18">
        <v>33.76740986439458</v>
      </c>
    </row>
    <row r="19" spans="1:12" ht="26.4" x14ac:dyDescent="0.25">
      <c r="B19" t="s">
        <v>164</v>
      </c>
      <c r="C19" t="s">
        <v>158</v>
      </c>
      <c r="D19" s="18">
        <v>0</v>
      </c>
      <c r="E19" s="18">
        <v>8.1158357000946744</v>
      </c>
      <c r="F19" s="18">
        <v>4.6534749834437861</v>
      </c>
      <c r="G19" s="18">
        <v>2.9222946251183437</v>
      </c>
      <c r="H19" s="18">
        <v>-1.1556462258468514E-3</v>
      </c>
      <c r="I19" s="18">
        <v>-1.1556462258468514E-3</v>
      </c>
      <c r="J19" s="18">
        <v>-1.1556462258468514E-3</v>
      </c>
      <c r="K19" s="18">
        <v>-1.1556462258468514E-3</v>
      </c>
      <c r="L19" s="18">
        <v>-1.1556462258468514E-3</v>
      </c>
    </row>
    <row r="20" spans="1:12" ht="26.4" x14ac:dyDescent="0.25">
      <c r="A20" s="18">
        <v>20.093470272233134</v>
      </c>
      <c r="B20" t="s">
        <v>165</v>
      </c>
      <c r="C20" t="s">
        <v>166</v>
      </c>
      <c r="D20" s="18">
        <v>0</v>
      </c>
      <c r="E20" s="18">
        <v>5.1454398338600242</v>
      </c>
      <c r="F20" s="18">
        <v>5.9006062790067206</v>
      </c>
      <c r="G20" s="18">
        <v>9.0474241593663915</v>
      </c>
      <c r="H20" s="18">
        <v>-5.6904020160698961E-3</v>
      </c>
      <c r="I20" s="18">
        <v>-5.8556594263659955E-3</v>
      </c>
      <c r="J20" s="18">
        <v>-6.0220724828879421E-3</v>
      </c>
      <c r="K20" s="18">
        <v>-6.1052790111489159E-3</v>
      </c>
      <c r="L20" s="18">
        <v>-6.3548985959318354E-3</v>
      </c>
    </row>
    <row r="21" spans="1:12" ht="52.8" x14ac:dyDescent="0.25">
      <c r="B21" t="s">
        <v>892</v>
      </c>
      <c r="C21" t="s">
        <v>166</v>
      </c>
      <c r="D21" s="18">
        <v>0</v>
      </c>
      <c r="E21" s="18">
        <v>18.316260000000003</v>
      </c>
      <c r="F21" s="18">
        <v>36.632520000000007</v>
      </c>
      <c r="G21" s="18">
        <v>89.443439999999995</v>
      </c>
      <c r="H21" s="18">
        <v>142.25436000000002</v>
      </c>
      <c r="I21" s="18">
        <v>146.38562999999999</v>
      </c>
      <c r="J21" s="18">
        <v>150.54579000000001</v>
      </c>
      <c r="K21" s="18">
        <v>152.62586999999999</v>
      </c>
      <c r="L21" s="18">
        <v>158.86611000000002</v>
      </c>
    </row>
    <row r="22" spans="1:12" ht="26.4" x14ac:dyDescent="0.25">
      <c r="B22" t="s">
        <v>223</v>
      </c>
      <c r="C22" t="s">
        <v>166</v>
      </c>
      <c r="D22" s="18">
        <v>0</v>
      </c>
      <c r="E22" s="18">
        <v>12.8711195013784</v>
      </c>
      <c r="F22" s="18">
        <v>25.742239002756801</v>
      </c>
      <c r="G22" s="18">
        <v>62.853290183387266</v>
      </c>
      <c r="H22" s="18">
        <v>99.964341364017727</v>
      </c>
      <c r="I22" s="18">
        <v>102.86744875943904</v>
      </c>
      <c r="J22" s="18">
        <v>105.79085760517799</v>
      </c>
      <c r="K22" s="18">
        <v>107.25256202804744</v>
      </c>
      <c r="L22" s="18">
        <v>111.63767529665587</v>
      </c>
    </row>
    <row r="23" spans="1:12" ht="52.8" x14ac:dyDescent="0.25">
      <c r="B23" t="s">
        <v>175</v>
      </c>
      <c r="C23" t="s">
        <v>166</v>
      </c>
      <c r="D23" s="18">
        <v>0</v>
      </c>
      <c r="E23" s="18">
        <v>7.7256796675183761</v>
      </c>
      <c r="F23" s="18">
        <v>19.841632723750081</v>
      </c>
      <c r="G23" s="18">
        <v>53.805866024020872</v>
      </c>
      <c r="H23" s="18">
        <v>99.970031766033799</v>
      </c>
      <c r="I23" s="18">
        <v>102.8733044188654</v>
      </c>
      <c r="J23" s="18">
        <v>105.79687967766088</v>
      </c>
      <c r="K23" s="18">
        <v>107.25866730705859</v>
      </c>
      <c r="L23" s="18">
        <v>111.6440301952518</v>
      </c>
    </row>
    <row r="24" spans="1:12" ht="39.6" x14ac:dyDescent="0.25">
      <c r="B24" t="s">
        <v>177</v>
      </c>
      <c r="C24" t="s">
        <v>1159</v>
      </c>
      <c r="D24" s="78">
        <v>0</v>
      </c>
      <c r="E24" s="78">
        <v>6.2252130017463353E-2</v>
      </c>
      <c r="F24" s="78">
        <v>0.12450426003492671</v>
      </c>
      <c r="G24" s="78">
        <v>0.3039946286026286</v>
      </c>
      <c r="H24" s="78">
        <v>0.48348499717033055</v>
      </c>
      <c r="I24" s="78">
        <v>0.4975260927420927</v>
      </c>
      <c r="J24" s="78">
        <v>0.51166537779337784</v>
      </c>
      <c r="K24" s="78">
        <v>0.51873502031902019</v>
      </c>
      <c r="L24" s="78">
        <v>0.53994394789594791</v>
      </c>
    </row>
    <row r="25" spans="1:12" ht="39.6" x14ac:dyDescent="0.25">
      <c r="B25" t="s">
        <v>177</v>
      </c>
      <c r="C25" t="s">
        <v>179</v>
      </c>
      <c r="D25" s="78">
        <v>0</v>
      </c>
      <c r="E25" s="78">
        <v>0.22410766806286808</v>
      </c>
      <c r="F25" s="78">
        <v>0.44821533612573616</v>
      </c>
      <c r="G25" s="78">
        <v>1.094380662969463</v>
      </c>
      <c r="H25" s="78">
        <v>1.7405459898131899</v>
      </c>
      <c r="I25" s="78">
        <v>1.7910939338715339</v>
      </c>
      <c r="J25" s="78">
        <v>1.84199536005616</v>
      </c>
      <c r="K25" s="78">
        <v>1.8674460731484728</v>
      </c>
      <c r="L25" s="78">
        <v>1.9437982124254125</v>
      </c>
    </row>
    <row r="26" spans="1:12" ht="52.8" x14ac:dyDescent="0.25">
      <c r="A26">
        <v>0.65</v>
      </c>
      <c r="B26" t="s">
        <v>1161</v>
      </c>
      <c r="C26" t="s">
        <v>181</v>
      </c>
      <c r="D26">
        <v>0</v>
      </c>
      <c r="E26" s="18">
        <v>13.912777777777777</v>
      </c>
      <c r="F26" s="18">
        <v>27.825555555555553</v>
      </c>
      <c r="G26" s="18">
        <v>67.94</v>
      </c>
      <c r="H26" s="18">
        <v>108.05444444444446</v>
      </c>
      <c r="I26" s="18">
        <v>111.1925</v>
      </c>
      <c r="J26" s="18">
        <v>114.35249999999999</v>
      </c>
      <c r="K26" s="18">
        <v>115.93249999999999</v>
      </c>
      <c r="L26" s="18">
        <v>120.67250000000001</v>
      </c>
    </row>
    <row r="27" spans="1:12" x14ac:dyDescent="0.25">
      <c r="A27" s="84">
        <v>848392</v>
      </c>
      <c r="B27" t="s">
        <v>1160</v>
      </c>
      <c r="C27" t="s">
        <v>181</v>
      </c>
      <c r="D27" s="84">
        <v>0.84839200000000003</v>
      </c>
      <c r="E27" s="84">
        <v>14.941125777777778</v>
      </c>
      <c r="F27" s="84">
        <v>14.941125777777778</v>
      </c>
      <c r="G27" s="84">
        <v>43.07946044444445</v>
      </c>
      <c r="H27" s="84">
        <v>43.079460444444443</v>
      </c>
      <c r="I27" s="84">
        <v>3.3700015555555609</v>
      </c>
      <c r="J27" s="84">
        <v>3.3935680000000001</v>
      </c>
      <c r="K27" s="84">
        <v>1.6967839999999759</v>
      </c>
      <c r="L27" s="84">
        <v>5.0903520000000242</v>
      </c>
    </row>
    <row r="28" spans="1:12" x14ac:dyDescent="0.25">
      <c r="A28" s="84">
        <v>2827440</v>
      </c>
      <c r="B28" t="s">
        <v>1164</v>
      </c>
      <c r="C28" t="s">
        <v>181</v>
      </c>
      <c r="D28" s="84">
        <v>2.8274400000000002</v>
      </c>
      <c r="E28" s="84">
        <v>49.794359999999998</v>
      </c>
      <c r="F28" s="84">
        <v>49.794359999999998</v>
      </c>
      <c r="G28" s="84">
        <v>143.57112000000001</v>
      </c>
      <c r="H28" s="84">
        <v>143.57111999999998</v>
      </c>
      <c r="I28" s="84">
        <v>11.231220000000018</v>
      </c>
      <c r="J28" s="84">
        <v>11.309760000000001</v>
      </c>
      <c r="K28" s="84">
        <v>5.6548799999999195</v>
      </c>
      <c r="L28" s="84">
        <v>16.964640000000081</v>
      </c>
    </row>
    <row r="29" spans="1:12" x14ac:dyDescent="0.25">
      <c r="A29" s="84">
        <v>500000</v>
      </c>
      <c r="B29" t="s">
        <v>1162</v>
      </c>
      <c r="C29" t="s">
        <v>181</v>
      </c>
      <c r="D29" s="84">
        <v>0.5</v>
      </c>
      <c r="E29" s="84">
        <v>8.8055555555555554</v>
      </c>
      <c r="F29" s="84">
        <v>8.8055555555555554</v>
      </c>
      <c r="G29" s="84">
        <v>25.388888888888889</v>
      </c>
      <c r="H29" s="84">
        <v>25.388888888888886</v>
      </c>
      <c r="I29" s="84">
        <v>1.9861111111111143</v>
      </c>
      <c r="J29" s="84">
        <v>2</v>
      </c>
      <c r="K29" s="84">
        <v>0.99999999999998579</v>
      </c>
      <c r="L29" s="84">
        <v>3.0000000000000147</v>
      </c>
    </row>
    <row r="30" spans="1:12" ht="26.4" x14ac:dyDescent="0.25">
      <c r="A30" s="16">
        <v>369940.17094017094</v>
      </c>
      <c r="B30" t="s">
        <v>1163</v>
      </c>
      <c r="C30" t="s">
        <v>181</v>
      </c>
      <c r="D30" s="84">
        <v>0.36994017094017095</v>
      </c>
      <c r="E30" s="84">
        <v>6.5150574548907878</v>
      </c>
      <c r="F30" s="84">
        <v>6.5150574548907878</v>
      </c>
      <c r="G30" s="84">
        <v>18.784739791073125</v>
      </c>
      <c r="H30" s="84">
        <v>18.784739791073122</v>
      </c>
      <c r="I30" s="84">
        <v>1.4694845679012369</v>
      </c>
      <c r="J30" s="84">
        <v>1.4797606837606838</v>
      </c>
      <c r="K30" s="84">
        <v>0.73988034188033136</v>
      </c>
      <c r="L30" s="84">
        <v>2.2196410256410362</v>
      </c>
    </row>
    <row r="31" spans="1:12" ht="52.8" x14ac:dyDescent="0.25">
      <c r="A31" s="645">
        <v>0.5</v>
      </c>
      <c r="B31" t="s">
        <v>992</v>
      </c>
      <c r="C31" t="s">
        <v>181</v>
      </c>
      <c r="D31" s="18">
        <v>0.25</v>
      </c>
      <c r="E31" s="18">
        <v>4.4027777777777777</v>
      </c>
      <c r="F31" s="18">
        <v>4.4027777777777777</v>
      </c>
      <c r="G31" s="18">
        <v>12.694444444444445</v>
      </c>
      <c r="H31" s="18">
        <v>6.3472222222222214</v>
      </c>
      <c r="I31" s="18">
        <v>0</v>
      </c>
      <c r="J31" s="18">
        <v>0</v>
      </c>
      <c r="K31" s="18">
        <v>0</v>
      </c>
      <c r="L31" s="18">
        <v>0</v>
      </c>
    </row>
    <row r="32" spans="1:12" x14ac:dyDescent="0.25">
      <c r="A32" s="18">
        <v>1255.5000030718379</v>
      </c>
      <c r="B32" t="s">
        <v>202</v>
      </c>
      <c r="C32" t="s">
        <v>1165</v>
      </c>
      <c r="D32" s="18">
        <v>0</v>
      </c>
      <c r="E32" s="18">
        <v>3.9</v>
      </c>
      <c r="F32" s="18">
        <v>7.7</v>
      </c>
      <c r="G32" s="18">
        <v>18.899999999999999</v>
      </c>
      <c r="H32" s="18">
        <v>30</v>
      </c>
      <c r="I32" s="18">
        <v>30.9</v>
      </c>
      <c r="J32" s="18">
        <v>31.8</v>
      </c>
      <c r="K32" s="18">
        <v>32.200000000000003</v>
      </c>
      <c r="L32" s="18">
        <v>33.5</v>
      </c>
    </row>
    <row r="33" spans="1:12" ht="26.4" x14ac:dyDescent="0.25">
      <c r="B33" t="s">
        <v>203</v>
      </c>
      <c r="C33" t="s">
        <v>1165</v>
      </c>
      <c r="D33" s="18">
        <v>0</v>
      </c>
      <c r="E33" s="18">
        <v>4.5999999999999996</v>
      </c>
      <c r="F33" s="18">
        <v>9.1</v>
      </c>
      <c r="G33" s="18">
        <v>22.3</v>
      </c>
      <c r="H33" s="18">
        <v>35.5</v>
      </c>
      <c r="I33" s="18">
        <v>36.5</v>
      </c>
      <c r="J33" s="18">
        <v>37.6</v>
      </c>
      <c r="K33" s="18">
        <v>38</v>
      </c>
      <c r="L33" s="18">
        <v>39.6</v>
      </c>
    </row>
    <row r="34" spans="1:12" ht="52.8" x14ac:dyDescent="0.25">
      <c r="A34">
        <v>578.33999999999992</v>
      </c>
      <c r="B34" t="s">
        <v>204</v>
      </c>
      <c r="C34" t="s">
        <v>1165</v>
      </c>
      <c r="D34" s="18">
        <v>0</v>
      </c>
      <c r="E34" s="18">
        <v>1.2</v>
      </c>
      <c r="F34" s="18">
        <v>2.4</v>
      </c>
      <c r="G34" s="18">
        <v>5.8</v>
      </c>
      <c r="H34" s="18">
        <v>9.1999999999999993</v>
      </c>
      <c r="I34" s="18">
        <v>9.5</v>
      </c>
      <c r="J34" s="18">
        <v>9.8000000000000007</v>
      </c>
      <c r="K34" s="18">
        <v>9.9</v>
      </c>
      <c r="L34" s="18">
        <v>10.3</v>
      </c>
    </row>
    <row r="35" spans="1:12" ht="26.4" x14ac:dyDescent="0.25">
      <c r="B35" t="s">
        <v>205</v>
      </c>
      <c r="C35" t="s">
        <v>1165</v>
      </c>
      <c r="D35" s="18">
        <v>0</v>
      </c>
      <c r="E35" s="18">
        <v>2.6</v>
      </c>
      <c r="F35" s="18">
        <v>5.0999999999999996</v>
      </c>
      <c r="G35" s="18">
        <v>12.5</v>
      </c>
      <c r="H35" s="18">
        <v>19.899999999999999</v>
      </c>
      <c r="I35" s="18">
        <v>20.5</v>
      </c>
      <c r="J35" s="18">
        <v>21</v>
      </c>
      <c r="K35" s="18">
        <v>21.3</v>
      </c>
      <c r="L35" s="18">
        <v>22.2</v>
      </c>
    </row>
    <row r="36" spans="1:12" ht="92.4" x14ac:dyDescent="0.25">
      <c r="A36" s="8">
        <v>6.7684022698502225E-2</v>
      </c>
      <c r="B36" t="s">
        <v>895</v>
      </c>
      <c r="C36" t="s">
        <v>166</v>
      </c>
      <c r="D36" s="16">
        <v>0</v>
      </c>
      <c r="E36" s="16">
        <v>1.7974809118611033</v>
      </c>
      <c r="F36" s="16">
        <v>3.5949618237222065</v>
      </c>
      <c r="G36" s="16">
        <v>8.7776039481419179</v>
      </c>
      <c r="H36" s="16">
        <v>13.960246072561629</v>
      </c>
      <c r="I36" s="16">
        <v>14.365671577918315</v>
      </c>
      <c r="J36" s="16">
        <v>14.7739322266691</v>
      </c>
      <c r="K36" s="16">
        <v>14.978062551044491</v>
      </c>
      <c r="L36" s="16">
        <v>15.590453524170675</v>
      </c>
    </row>
    <row r="37" spans="1:12" ht="39.6" x14ac:dyDescent="0.25">
      <c r="A37" s="8">
        <v>3.4381139489194502E-2</v>
      </c>
      <c r="B37" t="s">
        <v>882</v>
      </c>
      <c r="C37" t="s">
        <v>166</v>
      </c>
      <c r="D37" s="18">
        <v>0</v>
      </c>
      <c r="E37" s="18">
        <v>0.60549006767081426</v>
      </c>
      <c r="F37" s="18">
        <v>1.2109801353416285</v>
      </c>
      <c r="G37" s="18">
        <v>2.956777996070727</v>
      </c>
      <c r="H37" s="18">
        <v>4.7025758567998253</v>
      </c>
      <c r="I37" s="18">
        <v>4.8391453831041265</v>
      </c>
      <c r="J37" s="18">
        <v>4.9766699410609041</v>
      </c>
      <c r="K37" s="18">
        <v>5.0454322200392925</v>
      </c>
      <c r="L37" s="18">
        <v>5.2517190569744603</v>
      </c>
    </row>
    <row r="38" spans="1:12" ht="79.2" x14ac:dyDescent="0.25">
      <c r="A38">
        <v>18</v>
      </c>
      <c r="B38" t="s">
        <v>215</v>
      </c>
      <c r="C38" t="s">
        <v>1166</v>
      </c>
      <c r="D38" s="84">
        <v>0</v>
      </c>
      <c r="E38" s="84">
        <v>11.4</v>
      </c>
      <c r="F38" s="84">
        <v>22.8</v>
      </c>
      <c r="G38" s="84">
        <v>55.7</v>
      </c>
      <c r="H38" s="84">
        <v>88.6</v>
      </c>
      <c r="I38" s="84">
        <v>91.2</v>
      </c>
      <c r="J38" s="84">
        <v>93.8</v>
      </c>
      <c r="K38" s="84">
        <v>95.1</v>
      </c>
      <c r="L38" s="84">
        <v>99</v>
      </c>
    </row>
    <row r="39" spans="1:12" x14ac:dyDescent="0.25">
      <c r="A39" t="s">
        <v>7</v>
      </c>
      <c r="D39" t="s">
        <v>7</v>
      </c>
      <c r="E39" t="s">
        <v>800</v>
      </c>
    </row>
    <row r="41" spans="1:12" x14ac:dyDescent="0.25">
      <c r="C41" t="s">
        <v>143</v>
      </c>
      <c r="E41">
        <v>2015</v>
      </c>
      <c r="F41">
        <v>2020</v>
      </c>
      <c r="G41">
        <v>2025</v>
      </c>
      <c r="H41">
        <v>2030</v>
      </c>
      <c r="I41">
        <v>2035</v>
      </c>
      <c r="J41">
        <v>2040</v>
      </c>
      <c r="K41">
        <v>2045</v>
      </c>
      <c r="L41">
        <v>2050</v>
      </c>
    </row>
    <row r="42" spans="1:12" ht="26.4" x14ac:dyDescent="0.25">
      <c r="B42" s="648" t="s">
        <v>609</v>
      </c>
      <c r="C42" s="648" t="s">
        <v>65</v>
      </c>
      <c r="D42" s="323"/>
      <c r="E42" s="323">
        <v>224.10766806286807</v>
      </c>
      <c r="F42" s="323">
        <v>448.21533612573614</v>
      </c>
      <c r="G42" s="323">
        <v>1094.3806629694629</v>
      </c>
      <c r="H42" s="323">
        <v>1740.5459898131899</v>
      </c>
      <c r="I42" s="323">
        <v>1791.0939338715339</v>
      </c>
      <c r="J42" s="323">
        <v>1841.9953600561601</v>
      </c>
      <c r="K42" s="323">
        <v>1867.4460731484728</v>
      </c>
      <c r="L42" s="323">
        <v>1943.7982124254124</v>
      </c>
    </row>
    <row r="43" spans="1:12" ht="26.4" x14ac:dyDescent="0.25">
      <c r="B43" s="648" t="s">
        <v>610</v>
      </c>
      <c r="C43" s="648" t="s">
        <v>181</v>
      </c>
      <c r="D43" s="648"/>
      <c r="E43" s="648">
        <v>24.516518689638882</v>
      </c>
      <c r="F43" s="648">
        <v>44.630259601499986</v>
      </c>
      <c r="G43" s="648">
        <v>110.91548839258635</v>
      </c>
      <c r="H43" s="648">
        <v>162.56182829478382</v>
      </c>
      <c r="I43" s="648">
        <v>160.7513015779183</v>
      </c>
      <c r="J43" s="648">
        <v>165.31972222666911</v>
      </c>
      <c r="K43" s="648">
        <v>167.60393255104452</v>
      </c>
      <c r="L43" s="648">
        <v>174.45656352417066</v>
      </c>
    </row>
    <row r="44" spans="1:12" x14ac:dyDescent="0.25">
      <c r="B44" s="648" t="s">
        <v>736</v>
      </c>
      <c r="C44" s="648" t="s">
        <v>181</v>
      </c>
      <c r="D44" s="648"/>
      <c r="E44" s="648">
        <v>2.4655555555555559</v>
      </c>
      <c r="F44" s="648">
        <v>4.9311111111111119</v>
      </c>
      <c r="G44" s="648">
        <v>12.040000000000001</v>
      </c>
      <c r="H44" s="648">
        <v>19.148888888888891</v>
      </c>
      <c r="I44" s="648">
        <v>19.705000000000002</v>
      </c>
      <c r="J44" s="648">
        <v>20.265000000000001</v>
      </c>
      <c r="K44" s="648">
        <v>20.544999999999998</v>
      </c>
      <c r="L44" s="648">
        <v>21.385000000000002</v>
      </c>
    </row>
    <row r="45" spans="1:12" x14ac:dyDescent="0.25">
      <c r="B45" s="648" t="s">
        <v>590</v>
      </c>
      <c r="C45" s="648" t="s">
        <v>181</v>
      </c>
      <c r="D45" s="648"/>
      <c r="E45" s="648">
        <v>2.9938888888888888</v>
      </c>
      <c r="F45" s="648">
        <v>5.9877777777777776</v>
      </c>
      <c r="G45" s="648">
        <v>14.620000000000001</v>
      </c>
      <c r="H45" s="648">
        <v>23.252222222222223</v>
      </c>
      <c r="I45" s="648">
        <v>23.927500000000002</v>
      </c>
      <c r="J45" s="648">
        <v>24.607500000000002</v>
      </c>
      <c r="K45" s="648">
        <v>24.947499999999998</v>
      </c>
      <c r="L45" s="648">
        <v>25.967500000000001</v>
      </c>
    </row>
    <row r="46" spans="1:12" x14ac:dyDescent="0.25">
      <c r="B46" s="648" t="s">
        <v>737</v>
      </c>
      <c r="C46" s="648" t="s">
        <v>181</v>
      </c>
      <c r="D46" s="648"/>
      <c r="E46" s="648">
        <v>3.6983333333333333</v>
      </c>
      <c r="F46" s="648">
        <v>7.3966666666666665</v>
      </c>
      <c r="G46" s="648">
        <v>18.059999999999999</v>
      </c>
      <c r="H46" s="648">
        <v>28.723333333333333</v>
      </c>
      <c r="I46" s="648">
        <v>29.557499999999997</v>
      </c>
      <c r="J46" s="648">
        <v>30.397499999999997</v>
      </c>
      <c r="K46" s="648">
        <v>30.817499999999992</v>
      </c>
      <c r="L46" s="648">
        <v>32.077500000000001</v>
      </c>
    </row>
    <row r="47" spans="1:12" x14ac:dyDescent="0.25">
      <c r="B47" s="648" t="s">
        <v>738</v>
      </c>
      <c r="C47" s="648" t="s">
        <v>181</v>
      </c>
      <c r="D47" s="648"/>
      <c r="E47" s="648">
        <v>2.4655555555555559</v>
      </c>
      <c r="F47" s="648">
        <v>4.9311111111111119</v>
      </c>
      <c r="G47" s="648">
        <v>12.040000000000001</v>
      </c>
      <c r="H47" s="648">
        <v>19.148888888888891</v>
      </c>
      <c r="I47" s="648">
        <v>19.705000000000002</v>
      </c>
      <c r="J47" s="648">
        <v>20.265000000000001</v>
      </c>
      <c r="K47" s="648">
        <v>20.544999999999998</v>
      </c>
      <c r="L47" s="648">
        <v>21.385000000000002</v>
      </c>
    </row>
    <row r="48" spans="1:12" x14ac:dyDescent="0.25">
      <c r="B48" s="648" t="s">
        <v>628</v>
      </c>
      <c r="C48" s="648" t="s">
        <v>181</v>
      </c>
      <c r="D48" s="648"/>
      <c r="E48" s="648">
        <v>2.2894444444444444</v>
      </c>
      <c r="F48" s="648">
        <v>4.5788888888888888</v>
      </c>
      <c r="G48" s="648">
        <v>11.18</v>
      </c>
      <c r="H48" s="648">
        <v>17.781111111111112</v>
      </c>
      <c r="I48" s="648">
        <v>18.297499999999999</v>
      </c>
      <c r="J48" s="648">
        <v>18.817499999999999</v>
      </c>
      <c r="K48" s="648">
        <v>19.077499999999997</v>
      </c>
      <c r="L48" s="648">
        <v>19.857500000000002</v>
      </c>
    </row>
    <row r="49" spans="1:12" x14ac:dyDescent="0.25">
      <c r="B49" s="648" t="s">
        <v>631</v>
      </c>
      <c r="C49" s="648" t="s">
        <v>181</v>
      </c>
      <c r="D49" s="648"/>
      <c r="E49" s="648">
        <v>10.603740911861106</v>
      </c>
      <c r="F49" s="648">
        <v>16.804704045944433</v>
      </c>
      <c r="G49" s="648">
        <v>42.975488392586357</v>
      </c>
      <c r="H49" s="648">
        <v>54.507383850339366</v>
      </c>
      <c r="I49" s="648">
        <v>49.558801577918302</v>
      </c>
      <c r="J49" s="648">
        <v>50.967222226669122</v>
      </c>
      <c r="K49" s="648">
        <v>51.671432551044532</v>
      </c>
      <c r="L49" s="648">
        <v>53.784063524170648</v>
      </c>
    </row>
    <row r="50" spans="1:12" ht="26.4" x14ac:dyDescent="0.25">
      <c r="B50" s="648" t="s">
        <v>733</v>
      </c>
      <c r="C50" s="648" t="s">
        <v>181</v>
      </c>
      <c r="D50" s="648"/>
      <c r="E50" s="648">
        <v>1.7974809118611033</v>
      </c>
      <c r="F50" s="648">
        <v>3.5949618237222065</v>
      </c>
      <c r="G50" s="648">
        <v>8.7776039481419179</v>
      </c>
      <c r="H50" s="648">
        <v>13.960246072561629</v>
      </c>
      <c r="I50" s="648">
        <v>14.365671577918315</v>
      </c>
      <c r="J50" s="648">
        <v>14.7739322266691</v>
      </c>
      <c r="K50" s="648">
        <v>14.978062551044491</v>
      </c>
      <c r="L50" s="648">
        <v>15.590453524170675</v>
      </c>
    </row>
    <row r="51" spans="1:12" ht="39.6" x14ac:dyDescent="0.25">
      <c r="B51" s="648" t="s">
        <v>611</v>
      </c>
      <c r="C51" s="648" t="s">
        <v>181</v>
      </c>
      <c r="D51" s="648"/>
      <c r="E51" s="648">
        <v>13.170820166139976</v>
      </c>
      <c r="F51" s="648">
        <v>30.73191372099328</v>
      </c>
      <c r="G51" s="648">
        <v>80.396015840633609</v>
      </c>
      <c r="H51" s="648">
        <v>142.26005040201605</v>
      </c>
      <c r="I51" s="648">
        <v>146.39148565942637</v>
      </c>
      <c r="J51" s="648">
        <v>150.5518120724829</v>
      </c>
      <c r="K51" s="648">
        <v>152.63197527901116</v>
      </c>
      <c r="L51" s="648">
        <v>158.87246489859592</v>
      </c>
    </row>
    <row r="52" spans="1:12" x14ac:dyDescent="0.25">
      <c r="B52" s="648" t="s">
        <v>189</v>
      </c>
      <c r="C52" s="648" t="s">
        <v>181</v>
      </c>
      <c r="D52" s="648"/>
      <c r="E52" s="648">
        <v>80.056098788224119</v>
      </c>
      <c r="F52" s="648">
        <v>80.056098788224119</v>
      </c>
      <c r="G52" s="648">
        <v>230.82420912440648</v>
      </c>
      <c r="H52" s="648">
        <v>230.82420912440642</v>
      </c>
      <c r="I52" s="648">
        <v>18.05681723456793</v>
      </c>
      <c r="J52" s="648">
        <v>18.183088683760683</v>
      </c>
      <c r="K52" s="648">
        <v>9.0915443418802138</v>
      </c>
      <c r="L52" s="648">
        <v>27.274633025641155</v>
      </c>
    </row>
    <row r="53" spans="1:12" x14ac:dyDescent="0.25">
      <c r="B53" s="648" t="s">
        <v>190</v>
      </c>
      <c r="C53" s="648" t="s">
        <v>181</v>
      </c>
      <c r="D53" s="648"/>
      <c r="E53" s="648">
        <v>14.941125777777778</v>
      </c>
      <c r="F53" s="648">
        <v>14.941125777777778</v>
      </c>
      <c r="G53" s="648">
        <v>43.07946044444445</v>
      </c>
      <c r="H53" s="648">
        <v>43.079460444444443</v>
      </c>
      <c r="I53" s="648">
        <v>3.3700015555555609</v>
      </c>
      <c r="J53" s="648">
        <v>3.3935680000000001</v>
      </c>
      <c r="K53" s="648">
        <v>1.6967839999999759</v>
      </c>
      <c r="L53" s="648">
        <v>5.0903520000000242</v>
      </c>
    </row>
    <row r="54" spans="1:12" x14ac:dyDescent="0.25">
      <c r="B54" s="648" t="s">
        <v>192</v>
      </c>
      <c r="C54" s="648" t="s">
        <v>181</v>
      </c>
      <c r="D54" s="648"/>
      <c r="E54" s="648">
        <v>49.794359999999998</v>
      </c>
      <c r="F54" s="648">
        <v>49.794359999999998</v>
      </c>
      <c r="G54" s="648">
        <v>143.57112000000001</v>
      </c>
      <c r="H54" s="648">
        <v>143.57111999999998</v>
      </c>
      <c r="I54" s="648">
        <v>11.231220000000018</v>
      </c>
      <c r="J54" s="648">
        <v>11.309760000000001</v>
      </c>
      <c r="K54" s="648">
        <v>5.6548799999999195</v>
      </c>
      <c r="L54" s="648">
        <v>16.964640000000081</v>
      </c>
    </row>
    <row r="55" spans="1:12" x14ac:dyDescent="0.25">
      <c r="B55" s="648" t="s">
        <v>193</v>
      </c>
      <c r="C55" s="648" t="s">
        <v>181</v>
      </c>
      <c r="D55" s="648"/>
      <c r="E55" s="648">
        <v>8.8055555555555554</v>
      </c>
      <c r="F55" s="648">
        <v>8.8055555555555554</v>
      </c>
      <c r="G55" s="648">
        <v>25.388888888888889</v>
      </c>
      <c r="H55" s="648">
        <v>25.388888888888886</v>
      </c>
      <c r="I55" s="648">
        <v>1.9861111111111143</v>
      </c>
      <c r="J55" s="648">
        <v>2</v>
      </c>
      <c r="K55" s="648">
        <v>0.99999999999998579</v>
      </c>
      <c r="L55" s="648">
        <v>3.0000000000000147</v>
      </c>
    </row>
    <row r="56" spans="1:12" x14ac:dyDescent="0.25">
      <c r="B56" s="648" t="s">
        <v>194</v>
      </c>
      <c r="C56" s="648" t="s">
        <v>181</v>
      </c>
      <c r="D56" s="648"/>
      <c r="E56" s="648">
        <v>6.5150574548907878</v>
      </c>
      <c r="F56" s="648">
        <v>6.5150574548907878</v>
      </c>
      <c r="G56" s="648">
        <v>18.784739791073125</v>
      </c>
      <c r="H56" s="648">
        <v>18.784739791073122</v>
      </c>
      <c r="I56" s="648">
        <v>1.4694845679012369</v>
      </c>
      <c r="J56" s="648">
        <v>1.4797606837606838</v>
      </c>
      <c r="K56" s="648">
        <v>0.73988034188033136</v>
      </c>
      <c r="L56" s="648">
        <v>2.2196410256410362</v>
      </c>
    </row>
    <row r="57" spans="1:12" ht="26.4" x14ac:dyDescent="0.25">
      <c r="B57" s="648" t="s">
        <v>730</v>
      </c>
      <c r="C57" s="648" t="s">
        <v>181</v>
      </c>
      <c r="D57" s="648"/>
      <c r="E57" s="648">
        <v>1.7974809118611033</v>
      </c>
      <c r="F57" s="648">
        <v>3.5949618237222065</v>
      </c>
      <c r="G57" s="648">
        <v>8.7776039481419179</v>
      </c>
      <c r="H57" s="648">
        <v>13.960246072561629</v>
      </c>
      <c r="I57" s="648">
        <v>14.365671577918315</v>
      </c>
      <c r="J57" s="648">
        <v>14.7739322266691</v>
      </c>
      <c r="K57" s="648">
        <v>14.978062551044491</v>
      </c>
      <c r="L57" s="648">
        <v>15.590453524170675</v>
      </c>
    </row>
    <row r="58" spans="1:12" x14ac:dyDescent="0.25">
      <c r="B58" s="648" t="s">
        <v>594</v>
      </c>
      <c r="C58" s="648" t="s">
        <v>181</v>
      </c>
      <c r="D58" s="648"/>
      <c r="E58" s="648">
        <v>9.5482176116378028</v>
      </c>
      <c r="F58" s="648">
        <v>10.303384056784498</v>
      </c>
      <c r="G58" s="648">
        <v>21.741868603810836</v>
      </c>
      <c r="H58" s="648">
        <v>6.3415318202061517</v>
      </c>
      <c r="I58" s="648">
        <v>-5.8556594263659955E-3</v>
      </c>
      <c r="J58" s="648">
        <v>-6.0220724828879421E-3</v>
      </c>
      <c r="K58" s="648">
        <v>-6.1052790111489159E-3</v>
      </c>
      <c r="L58" s="648">
        <v>-6.3548985959318354E-3</v>
      </c>
    </row>
    <row r="59" spans="1:12" x14ac:dyDescent="0.25">
      <c r="B59" s="648" t="s">
        <v>195</v>
      </c>
      <c r="C59" s="648"/>
      <c r="D59" s="648"/>
      <c r="E59" s="648"/>
      <c r="F59" s="648"/>
      <c r="G59" s="648"/>
      <c r="H59" s="648"/>
      <c r="I59" s="648"/>
      <c r="J59" s="648"/>
      <c r="K59" s="648"/>
      <c r="L59" s="648"/>
    </row>
    <row r="60" spans="1:12" x14ac:dyDescent="0.25">
      <c r="B60" s="648" t="s">
        <v>595</v>
      </c>
      <c r="C60" s="648" t="s">
        <v>196</v>
      </c>
      <c r="D60" s="648"/>
      <c r="E60" s="323">
        <v>5051.412836259251</v>
      </c>
      <c r="F60" s="323">
        <v>10102.825672518502</v>
      </c>
      <c r="G60" s="323">
        <v>24667.467099461581</v>
      </c>
      <c r="H60" s="323">
        <v>39232.108526404656</v>
      </c>
      <c r="I60" s="323">
        <v>40371.465049409511</v>
      </c>
      <c r="J60" s="323">
        <v>41518.789100547256</v>
      </c>
      <c r="K60" s="323">
        <v>42092.451126116124</v>
      </c>
      <c r="L60" s="323">
        <v>43813.437202822752</v>
      </c>
    </row>
    <row r="61" spans="1:12" x14ac:dyDescent="0.25">
      <c r="B61" s="648" t="s">
        <v>596</v>
      </c>
      <c r="C61" s="648" t="s">
        <v>65</v>
      </c>
      <c r="D61" s="648">
        <v>36</v>
      </c>
      <c r="E61" s="648">
        <v>1080</v>
      </c>
      <c r="F61" s="648">
        <v>5580</v>
      </c>
      <c r="G61" s="648">
        <v>7200</v>
      </c>
      <c r="H61" s="648">
        <v>9468</v>
      </c>
      <c r="I61" s="648">
        <v>10800</v>
      </c>
      <c r="J61" s="648">
        <v>11664</v>
      </c>
      <c r="K61" s="648">
        <v>12600</v>
      </c>
      <c r="L61" s="648">
        <v>13348.800000000001</v>
      </c>
    </row>
    <row r="62" spans="1:12" x14ac:dyDescent="0.25">
      <c r="B62" s="648" t="s">
        <v>598</v>
      </c>
      <c r="C62" s="648" t="s">
        <v>718</v>
      </c>
      <c r="D62" s="648"/>
      <c r="E62" s="84">
        <v>11.412000000000001</v>
      </c>
      <c r="F62" s="84">
        <v>22.824000000000002</v>
      </c>
      <c r="G62" s="84">
        <v>55.728000000000002</v>
      </c>
      <c r="H62" s="84">
        <v>88.632000000000005</v>
      </c>
      <c r="I62" s="84">
        <v>91.206000000000003</v>
      </c>
      <c r="J62" s="84">
        <v>93.798000000000002</v>
      </c>
      <c r="K62" s="84">
        <v>95.09399999999998</v>
      </c>
      <c r="L62" s="84">
        <v>98.981999999999999</v>
      </c>
    </row>
    <row r="64" spans="1:12" x14ac:dyDescent="0.25">
      <c r="A64" t="s">
        <v>1151</v>
      </c>
    </row>
    <row r="65" spans="2:12" x14ac:dyDescent="0.25">
      <c r="B65" t="s">
        <v>1177</v>
      </c>
      <c r="C65" t="s">
        <v>78</v>
      </c>
      <c r="D65">
        <v>1</v>
      </c>
      <c r="E65">
        <v>30</v>
      </c>
      <c r="F65">
        <v>155</v>
      </c>
      <c r="G65">
        <v>200</v>
      </c>
      <c r="H65">
        <v>263</v>
      </c>
      <c r="I65">
        <v>300</v>
      </c>
      <c r="J65">
        <v>324</v>
      </c>
      <c r="K65">
        <v>350</v>
      </c>
      <c r="L65">
        <v>370.8</v>
      </c>
    </row>
    <row r="66" spans="2:12" x14ac:dyDescent="0.25">
      <c r="B66" t="s">
        <v>1177</v>
      </c>
      <c r="C66" t="s">
        <v>147</v>
      </c>
      <c r="D66" s="84">
        <v>10</v>
      </c>
      <c r="E66" s="84">
        <v>300</v>
      </c>
      <c r="F66" s="84">
        <v>1550</v>
      </c>
      <c r="G66" s="84">
        <v>2000</v>
      </c>
      <c r="H66" s="84">
        <v>2630</v>
      </c>
      <c r="I66" s="84">
        <v>3000</v>
      </c>
      <c r="J66" s="84">
        <v>3240</v>
      </c>
      <c r="K66" s="84">
        <v>3500</v>
      </c>
      <c r="L66" s="84">
        <v>3708</v>
      </c>
    </row>
    <row r="67" spans="2:12" x14ac:dyDescent="0.25">
      <c r="B67" t="s">
        <v>1177</v>
      </c>
      <c r="C67" t="s">
        <v>65</v>
      </c>
      <c r="D67" s="84">
        <v>36</v>
      </c>
      <c r="E67" s="84">
        <v>1080</v>
      </c>
      <c r="F67" s="84">
        <v>5580</v>
      </c>
      <c r="G67" s="84">
        <v>7200</v>
      </c>
      <c r="H67" s="84">
        <v>9468</v>
      </c>
      <c r="I67" s="84">
        <v>10800</v>
      </c>
      <c r="J67" s="84">
        <v>11664</v>
      </c>
      <c r="K67" s="84">
        <v>12600</v>
      </c>
      <c r="L67" s="84">
        <v>13349</v>
      </c>
    </row>
    <row r="68" spans="2:12" x14ac:dyDescent="0.25">
      <c r="B68" t="s">
        <v>1177</v>
      </c>
      <c r="C68" t="s">
        <v>16</v>
      </c>
      <c r="D68" s="16">
        <v>0.86</v>
      </c>
      <c r="E68" s="84">
        <v>26</v>
      </c>
      <c r="F68" s="84">
        <v>133</v>
      </c>
      <c r="G68" s="84">
        <v>172</v>
      </c>
      <c r="H68" s="84">
        <v>226</v>
      </c>
      <c r="I68" s="84">
        <v>258</v>
      </c>
      <c r="J68" s="84">
        <v>279</v>
      </c>
      <c r="K68" s="84">
        <v>301</v>
      </c>
      <c r="L68" s="84">
        <v>319</v>
      </c>
    </row>
    <row r="69" spans="2:12" ht="26.4" x14ac:dyDescent="0.25">
      <c r="B69" t="s">
        <v>1176</v>
      </c>
      <c r="C69" t="s">
        <v>154</v>
      </c>
      <c r="D69" s="645">
        <v>1</v>
      </c>
      <c r="E69" s="645">
        <v>0.9</v>
      </c>
      <c r="F69" s="645">
        <v>0.35</v>
      </c>
      <c r="G69" s="645">
        <v>0.54</v>
      </c>
      <c r="H69" s="645">
        <v>0.62</v>
      </c>
      <c r="I69" s="645">
        <v>0.52</v>
      </c>
      <c r="J69" s="645">
        <v>0.47</v>
      </c>
      <c r="K69" s="645">
        <v>0.42</v>
      </c>
      <c r="L69" s="645">
        <v>0.38</v>
      </c>
    </row>
    <row r="70" spans="2:12" x14ac:dyDescent="0.25">
      <c r="B70" t="s">
        <v>1179</v>
      </c>
      <c r="C70" t="s">
        <v>78</v>
      </c>
      <c r="D70" s="84">
        <v>1</v>
      </c>
      <c r="E70" s="84">
        <v>27</v>
      </c>
      <c r="F70" s="84">
        <v>54</v>
      </c>
      <c r="G70" s="84">
        <v>108</v>
      </c>
      <c r="H70" s="84">
        <v>162</v>
      </c>
      <c r="I70" s="84">
        <v>157</v>
      </c>
      <c r="J70" s="84">
        <v>151</v>
      </c>
      <c r="K70" s="84">
        <v>149</v>
      </c>
      <c r="L70" s="84">
        <v>140</v>
      </c>
    </row>
    <row r="71" spans="2:12" x14ac:dyDescent="0.25">
      <c r="B71" t="s">
        <v>1179</v>
      </c>
      <c r="C71" t="s">
        <v>65</v>
      </c>
      <c r="D71" s="18">
        <v>0</v>
      </c>
      <c r="E71" s="18">
        <v>970</v>
      </c>
      <c r="F71" s="18">
        <v>1940</v>
      </c>
      <c r="G71" s="18">
        <v>3894</v>
      </c>
      <c r="H71" s="18">
        <v>5848</v>
      </c>
      <c r="I71" s="18">
        <v>5650</v>
      </c>
      <c r="J71" s="18">
        <v>5451</v>
      </c>
      <c r="K71" s="18">
        <v>5352</v>
      </c>
      <c r="L71" s="18">
        <v>5055</v>
      </c>
    </row>
    <row r="72" spans="2:12" x14ac:dyDescent="0.25">
      <c r="B72" t="s">
        <v>1179</v>
      </c>
      <c r="C72" t="s">
        <v>16</v>
      </c>
      <c r="D72" s="18">
        <v>0</v>
      </c>
      <c r="E72" s="18">
        <v>23.2</v>
      </c>
      <c r="F72" s="18">
        <v>46.3</v>
      </c>
      <c r="G72" s="18">
        <v>93</v>
      </c>
      <c r="H72" s="18">
        <v>139.69999999999999</v>
      </c>
      <c r="I72" s="18">
        <v>134.9</v>
      </c>
      <c r="J72" s="18">
        <v>130.19999999999999</v>
      </c>
      <c r="K72" s="18">
        <v>127.8</v>
      </c>
      <c r="L72" s="18">
        <v>120.7</v>
      </c>
    </row>
    <row r="73" spans="2:12" ht="26.4" x14ac:dyDescent="0.25">
      <c r="B73" t="s">
        <v>151</v>
      </c>
      <c r="C73" t="s">
        <v>65</v>
      </c>
      <c r="D73" s="84">
        <v>29886</v>
      </c>
      <c r="E73" s="84">
        <v>30550</v>
      </c>
      <c r="F73" s="84">
        <v>31214</v>
      </c>
      <c r="G73" s="84">
        <v>29871</v>
      </c>
      <c r="H73" s="84">
        <v>28528</v>
      </c>
      <c r="I73" s="84">
        <v>25275</v>
      </c>
      <c r="J73" s="84">
        <v>22021</v>
      </c>
      <c r="K73" s="84">
        <v>20395</v>
      </c>
      <c r="L73" s="84">
        <v>15515</v>
      </c>
    </row>
    <row r="74" spans="2:12" ht="26.4" x14ac:dyDescent="0.25">
      <c r="B74" t="s">
        <v>151</v>
      </c>
      <c r="C74" t="s">
        <v>16</v>
      </c>
      <c r="D74">
        <v>714</v>
      </c>
      <c r="E74">
        <v>730</v>
      </c>
      <c r="F74">
        <v>746</v>
      </c>
      <c r="G74">
        <v>713</v>
      </c>
      <c r="H74">
        <v>681</v>
      </c>
      <c r="I74">
        <v>604</v>
      </c>
      <c r="J74">
        <v>526</v>
      </c>
      <c r="K74">
        <v>487</v>
      </c>
      <c r="L74">
        <v>371</v>
      </c>
    </row>
    <row r="75" spans="2:12" ht="26.4" x14ac:dyDescent="0.25">
      <c r="B75" t="s">
        <v>1189</v>
      </c>
      <c r="C75" t="s">
        <v>154</v>
      </c>
      <c r="D75" s="645">
        <v>0</v>
      </c>
      <c r="E75" s="645">
        <v>0.03</v>
      </c>
      <c r="F75" s="645">
        <v>0.06</v>
      </c>
      <c r="G75" s="645">
        <v>0.13</v>
      </c>
      <c r="H75" s="645">
        <v>0.2</v>
      </c>
      <c r="I75" s="645">
        <v>0.22</v>
      </c>
      <c r="J75" s="645">
        <v>0.25</v>
      </c>
      <c r="K75" s="645">
        <v>0.26</v>
      </c>
      <c r="L75" s="645">
        <v>0.33</v>
      </c>
    </row>
    <row r="76" spans="2:12" x14ac:dyDescent="0.25">
      <c r="B76" t="s">
        <v>1180</v>
      </c>
      <c r="C76" t="s">
        <v>78</v>
      </c>
      <c r="D76" s="84">
        <v>0</v>
      </c>
      <c r="E76" s="84">
        <v>3</v>
      </c>
      <c r="F76" s="84">
        <v>101</v>
      </c>
      <c r="G76" s="84">
        <v>92</v>
      </c>
      <c r="H76" s="84">
        <v>101</v>
      </c>
      <c r="I76" s="84">
        <v>143</v>
      </c>
      <c r="J76" s="84">
        <v>173</v>
      </c>
      <c r="K76" s="84">
        <v>201</v>
      </c>
      <c r="L76" s="84">
        <v>230</v>
      </c>
    </row>
    <row r="77" spans="2:12" x14ac:dyDescent="0.25">
      <c r="B77" t="s">
        <v>1180</v>
      </c>
      <c r="C77" t="s">
        <v>65</v>
      </c>
      <c r="D77" s="18">
        <v>36</v>
      </c>
      <c r="E77" s="18">
        <v>110</v>
      </c>
      <c r="F77" s="18">
        <v>3640</v>
      </c>
      <c r="G77" s="18">
        <v>3306</v>
      </c>
      <c r="H77" s="18">
        <v>3620</v>
      </c>
      <c r="I77" s="18">
        <v>5150</v>
      </c>
      <c r="J77" s="18">
        <v>6213</v>
      </c>
      <c r="K77" s="18">
        <v>7248</v>
      </c>
      <c r="L77" s="18">
        <v>8293.7999999999993</v>
      </c>
    </row>
    <row r="78" spans="2:12" x14ac:dyDescent="0.25">
      <c r="B78" t="s">
        <v>1180</v>
      </c>
      <c r="C78" t="s">
        <v>16</v>
      </c>
      <c r="D78" s="18">
        <v>0.9</v>
      </c>
      <c r="E78" s="18">
        <v>2.6</v>
      </c>
      <c r="F78" s="18">
        <v>86.9</v>
      </c>
      <c r="G78" s="18">
        <v>79</v>
      </c>
      <c r="H78" s="18">
        <v>86.5</v>
      </c>
      <c r="I78" s="18">
        <v>123</v>
      </c>
      <c r="J78" s="18">
        <v>148.4</v>
      </c>
      <c r="K78" s="18">
        <v>173.1</v>
      </c>
      <c r="L78" s="18">
        <v>198.1</v>
      </c>
    </row>
    <row r="79" spans="2:12" x14ac:dyDescent="0.25">
      <c r="B79" t="s">
        <v>1190</v>
      </c>
      <c r="C79" t="s">
        <v>154</v>
      </c>
      <c r="D79" s="645">
        <v>0</v>
      </c>
      <c r="E79" s="645">
        <v>0.1</v>
      </c>
      <c r="F79" s="645">
        <v>0.65</v>
      </c>
      <c r="G79" s="645">
        <v>0.46</v>
      </c>
      <c r="H79" s="645">
        <v>0.38</v>
      </c>
      <c r="I79" s="645">
        <v>0.48</v>
      </c>
      <c r="J79" s="645">
        <v>0.53</v>
      </c>
      <c r="K79" s="645">
        <v>0.57999999999999996</v>
      </c>
      <c r="L79" s="645">
        <v>0.62</v>
      </c>
    </row>
    <row r="80" spans="2:12" x14ac:dyDescent="0.25">
      <c r="B80" t="s">
        <v>157</v>
      </c>
      <c r="C80" t="s">
        <v>158</v>
      </c>
      <c r="D80" s="18">
        <v>28.9</v>
      </c>
      <c r="E80" s="18">
        <v>29.1</v>
      </c>
      <c r="F80" s="18">
        <v>29.4</v>
      </c>
      <c r="G80" s="18">
        <v>29.6</v>
      </c>
      <c r="H80" s="18">
        <v>30.4</v>
      </c>
      <c r="I80" s="18">
        <v>31.4</v>
      </c>
      <c r="J80" s="18">
        <v>32.4</v>
      </c>
      <c r="K80" s="18">
        <v>33.4</v>
      </c>
      <c r="L80" s="18">
        <v>34.5</v>
      </c>
    </row>
    <row r="81" spans="2:12" ht="39.6" x14ac:dyDescent="0.25">
      <c r="B81" t="s">
        <v>804</v>
      </c>
      <c r="C81" t="s">
        <v>158</v>
      </c>
      <c r="D81" s="18">
        <v>17.3</v>
      </c>
      <c r="E81" s="18">
        <v>21.1</v>
      </c>
      <c r="F81" s="18">
        <v>24.9</v>
      </c>
      <c r="G81" s="18">
        <v>26</v>
      </c>
      <c r="H81" s="18">
        <v>30.4</v>
      </c>
      <c r="I81" s="18">
        <v>31.4</v>
      </c>
      <c r="J81" s="18">
        <v>32.4</v>
      </c>
      <c r="K81" s="18">
        <v>33.4</v>
      </c>
      <c r="L81" s="18">
        <v>34.5</v>
      </c>
    </row>
    <row r="82" spans="2:12" ht="26.4" x14ac:dyDescent="0.25">
      <c r="B82" t="s">
        <v>947</v>
      </c>
      <c r="C82" t="s">
        <v>158</v>
      </c>
      <c r="D82" s="84">
        <v>0</v>
      </c>
      <c r="E82" s="84">
        <v>4</v>
      </c>
      <c r="F82" s="84">
        <v>7</v>
      </c>
      <c r="G82" s="84">
        <v>8</v>
      </c>
      <c r="H82" s="84">
        <v>12</v>
      </c>
      <c r="I82" s="84">
        <v>12</v>
      </c>
      <c r="J82" s="84">
        <v>12</v>
      </c>
      <c r="K82" s="84">
        <v>12</v>
      </c>
      <c r="L82" s="84">
        <v>12</v>
      </c>
    </row>
    <row r="83" spans="2:12" ht="52.8" x14ac:dyDescent="0.25">
      <c r="B83" t="s">
        <v>1181</v>
      </c>
      <c r="C83" t="s">
        <v>158</v>
      </c>
      <c r="D83" s="18">
        <v>11.6</v>
      </c>
      <c r="E83" s="18">
        <v>8.1</v>
      </c>
      <c r="F83" s="18">
        <v>4.5</v>
      </c>
      <c r="G83" s="18">
        <v>3.7</v>
      </c>
      <c r="H83" s="18">
        <v>0</v>
      </c>
      <c r="I83" s="18">
        <v>0</v>
      </c>
      <c r="J83" s="18">
        <v>0</v>
      </c>
      <c r="K83" s="18">
        <v>0</v>
      </c>
      <c r="L83" s="18">
        <v>0</v>
      </c>
    </row>
    <row r="84" spans="2:12" x14ac:dyDescent="0.25">
      <c r="B84" t="s">
        <v>890</v>
      </c>
      <c r="C84" t="s">
        <v>166</v>
      </c>
      <c r="D84" s="18">
        <v>0</v>
      </c>
      <c r="E84" s="18">
        <v>1.8</v>
      </c>
      <c r="F84" s="18">
        <v>7.4</v>
      </c>
      <c r="G84" s="18">
        <v>14.9</v>
      </c>
      <c r="H84" s="18">
        <v>31.7</v>
      </c>
      <c r="I84" s="18">
        <v>28.7</v>
      </c>
      <c r="J84" s="18">
        <v>25.8</v>
      </c>
      <c r="K84" s="18">
        <v>24.3</v>
      </c>
      <c r="L84" s="18">
        <v>19.8</v>
      </c>
    </row>
    <row r="85" spans="2:12" ht="26.4" x14ac:dyDescent="0.25">
      <c r="B85" t="s">
        <v>165</v>
      </c>
      <c r="C85" t="s">
        <v>166</v>
      </c>
      <c r="D85" s="84">
        <v>0</v>
      </c>
      <c r="E85" s="84">
        <v>8</v>
      </c>
      <c r="F85" s="84">
        <v>9</v>
      </c>
      <c r="G85" s="84">
        <v>14</v>
      </c>
      <c r="H85" s="18">
        <v>0</v>
      </c>
      <c r="I85" s="18">
        <v>0</v>
      </c>
      <c r="J85" s="18">
        <v>0</v>
      </c>
      <c r="K85" s="18">
        <v>0</v>
      </c>
      <c r="L85" s="18">
        <v>0</v>
      </c>
    </row>
    <row r="86" spans="2:12" ht="26.4" x14ac:dyDescent="0.25">
      <c r="B86" t="s">
        <v>1182</v>
      </c>
      <c r="C86" t="s">
        <v>169</v>
      </c>
      <c r="D86" s="18">
        <v>0</v>
      </c>
      <c r="E86" s="18">
        <v>28.3</v>
      </c>
      <c r="F86" s="18">
        <v>57</v>
      </c>
      <c r="G86" s="18">
        <v>115.4</v>
      </c>
      <c r="H86" s="18">
        <v>177.6</v>
      </c>
      <c r="I86" s="18">
        <v>177.2</v>
      </c>
      <c r="J86" s="18">
        <v>176.4</v>
      </c>
      <c r="K86" s="18">
        <v>178.8</v>
      </c>
      <c r="L86" s="18">
        <v>174.2</v>
      </c>
    </row>
    <row r="87" spans="2:12" ht="26.4" x14ac:dyDescent="0.25">
      <c r="B87" t="s">
        <v>1183</v>
      </c>
      <c r="C87" t="s">
        <v>169</v>
      </c>
      <c r="D87" s="18">
        <v>1</v>
      </c>
      <c r="E87" s="18">
        <v>3.2</v>
      </c>
      <c r="F87" s="18">
        <v>107</v>
      </c>
      <c r="G87" s="18">
        <v>98</v>
      </c>
      <c r="H87" s="18">
        <v>110</v>
      </c>
      <c r="I87" s="18">
        <v>161.6</v>
      </c>
      <c r="J87" s="18">
        <v>201.1</v>
      </c>
      <c r="K87" s="18">
        <v>242.2</v>
      </c>
      <c r="L87" s="18">
        <v>286</v>
      </c>
    </row>
    <row r="88" spans="2:12" ht="26.4" x14ac:dyDescent="0.25">
      <c r="B88" t="s">
        <v>1184</v>
      </c>
      <c r="C88" t="s">
        <v>169</v>
      </c>
      <c r="D88" s="18">
        <v>1</v>
      </c>
      <c r="E88" s="18">
        <v>31.5</v>
      </c>
      <c r="F88" s="18">
        <v>164</v>
      </c>
      <c r="G88" s="18">
        <v>213.4</v>
      </c>
      <c r="H88" s="18">
        <v>287.60000000000002</v>
      </c>
      <c r="I88" s="18">
        <v>338.7</v>
      </c>
      <c r="J88" s="18">
        <v>377.6</v>
      </c>
      <c r="K88" s="18">
        <v>420.9</v>
      </c>
      <c r="L88" s="18">
        <v>460.2</v>
      </c>
    </row>
    <row r="89" spans="2:12" ht="39.6" x14ac:dyDescent="0.25">
      <c r="B89" t="s">
        <v>222</v>
      </c>
      <c r="C89" t="s">
        <v>169</v>
      </c>
      <c r="D89" s="16">
        <v>0.73</v>
      </c>
      <c r="E89" s="16">
        <v>0.73</v>
      </c>
      <c r="F89" s="16">
        <v>0.73</v>
      </c>
      <c r="G89" s="16">
        <v>0.73</v>
      </c>
      <c r="H89" s="16">
        <v>0.73</v>
      </c>
      <c r="I89" s="16">
        <v>0.73</v>
      </c>
      <c r="J89" s="16">
        <v>0.73</v>
      </c>
      <c r="K89" s="16">
        <v>0.73</v>
      </c>
      <c r="L89" s="16">
        <v>0.73</v>
      </c>
    </row>
    <row r="90" spans="2:12" ht="26.4" x14ac:dyDescent="0.25">
      <c r="B90" t="s">
        <v>223</v>
      </c>
      <c r="C90" t="s">
        <v>166</v>
      </c>
      <c r="D90" s="18">
        <v>0.7</v>
      </c>
      <c r="E90" s="18">
        <v>21.9</v>
      </c>
      <c r="F90" s="18">
        <v>113.3</v>
      </c>
      <c r="G90" s="18">
        <v>146.19999999999999</v>
      </c>
      <c r="H90" s="18">
        <v>192.3</v>
      </c>
      <c r="I90" s="18">
        <v>219.3</v>
      </c>
      <c r="J90" s="18">
        <v>236.8</v>
      </c>
      <c r="K90" s="18">
        <v>255.9</v>
      </c>
      <c r="L90" s="18">
        <v>271.10000000000002</v>
      </c>
    </row>
    <row r="91" spans="2:12" ht="39.6" x14ac:dyDescent="0.25">
      <c r="B91" t="s">
        <v>177</v>
      </c>
      <c r="C91" t="s">
        <v>178</v>
      </c>
      <c r="D91" s="78">
        <v>4.0000000000000001E-3</v>
      </c>
      <c r="E91" s="78">
        <v>0.106</v>
      </c>
      <c r="F91" s="78">
        <v>0.54800000000000004</v>
      </c>
      <c r="G91" s="78">
        <v>0.70699999999999996</v>
      </c>
      <c r="H91" s="78">
        <v>0.93</v>
      </c>
      <c r="I91" s="78">
        <v>1.06</v>
      </c>
      <c r="J91" s="78">
        <v>1.145</v>
      </c>
      <c r="K91" s="78">
        <v>1.2370000000000001</v>
      </c>
      <c r="L91" s="78">
        <v>1.3109999999999999</v>
      </c>
    </row>
    <row r="92" spans="2:12" ht="39.6" x14ac:dyDescent="0.25">
      <c r="B92" t="s">
        <v>177</v>
      </c>
      <c r="C92" t="s">
        <v>179</v>
      </c>
      <c r="D92" s="78">
        <v>1.2999999999999999E-2</v>
      </c>
      <c r="E92" s="78">
        <v>0.38200000000000001</v>
      </c>
      <c r="F92" s="78">
        <v>1.972</v>
      </c>
      <c r="G92" s="78">
        <v>2.5449999999999999</v>
      </c>
      <c r="H92" s="78">
        <v>3.347</v>
      </c>
      <c r="I92" s="78">
        <v>3.8180000000000001</v>
      </c>
      <c r="J92" s="78">
        <v>4.1230000000000002</v>
      </c>
      <c r="K92" s="78">
        <v>4.4539999999999997</v>
      </c>
      <c r="L92" s="78">
        <v>4.7190000000000003</v>
      </c>
    </row>
    <row r="93" spans="2:12" ht="26.4" x14ac:dyDescent="0.25">
      <c r="B93" t="s">
        <v>723</v>
      </c>
      <c r="C93" t="s">
        <v>181</v>
      </c>
      <c r="D93">
        <v>0.79</v>
      </c>
      <c r="E93" s="84">
        <v>24</v>
      </c>
      <c r="F93" s="84">
        <v>122</v>
      </c>
      <c r="G93" s="84">
        <v>158</v>
      </c>
      <c r="H93" s="84">
        <v>208</v>
      </c>
      <c r="I93" s="84">
        <v>237</v>
      </c>
      <c r="J93" s="84">
        <v>256</v>
      </c>
      <c r="K93" s="84">
        <v>277</v>
      </c>
      <c r="L93" s="84">
        <v>293</v>
      </c>
    </row>
    <row r="94" spans="2:12" x14ac:dyDescent="0.25">
      <c r="B94" t="s">
        <v>736</v>
      </c>
      <c r="C94" t="s">
        <v>181</v>
      </c>
      <c r="D94" s="16">
        <v>0.14000000000000001</v>
      </c>
      <c r="E94" s="323">
        <v>4</v>
      </c>
      <c r="F94" s="323">
        <v>22</v>
      </c>
      <c r="G94" s="323">
        <v>28</v>
      </c>
      <c r="H94" s="323">
        <v>37</v>
      </c>
      <c r="I94" s="323">
        <v>42</v>
      </c>
      <c r="J94" s="323">
        <v>45</v>
      </c>
      <c r="K94" s="323">
        <v>49</v>
      </c>
      <c r="L94" s="323">
        <v>52</v>
      </c>
    </row>
    <row r="95" spans="2:12" x14ac:dyDescent="0.25">
      <c r="B95" t="s">
        <v>590</v>
      </c>
      <c r="C95" t="s">
        <v>181</v>
      </c>
      <c r="D95" s="16">
        <v>0.17</v>
      </c>
      <c r="E95" s="323">
        <v>5</v>
      </c>
      <c r="F95" s="323">
        <v>26</v>
      </c>
      <c r="G95" s="323">
        <v>34</v>
      </c>
      <c r="H95" s="323">
        <v>45</v>
      </c>
      <c r="I95" s="323">
        <v>51</v>
      </c>
      <c r="J95" s="323">
        <v>55</v>
      </c>
      <c r="K95" s="323">
        <v>60</v>
      </c>
      <c r="L95" s="323">
        <v>63</v>
      </c>
    </row>
    <row r="96" spans="2:12" x14ac:dyDescent="0.25">
      <c r="B96" t="s">
        <v>737</v>
      </c>
      <c r="C96" t="s">
        <v>181</v>
      </c>
      <c r="D96" s="16">
        <v>0.21</v>
      </c>
      <c r="E96" s="323">
        <v>6</v>
      </c>
      <c r="F96" s="323">
        <v>33</v>
      </c>
      <c r="G96" s="323">
        <v>42</v>
      </c>
      <c r="H96" s="323">
        <v>55</v>
      </c>
      <c r="I96" s="323">
        <v>63</v>
      </c>
      <c r="J96" s="323">
        <v>68</v>
      </c>
      <c r="K96" s="323">
        <v>74</v>
      </c>
      <c r="L96" s="323">
        <v>78</v>
      </c>
    </row>
    <row r="97" spans="2:12" x14ac:dyDescent="0.25">
      <c r="B97" t="s">
        <v>738</v>
      </c>
      <c r="C97" t="s">
        <v>181</v>
      </c>
      <c r="D97" s="16">
        <v>0.14000000000000001</v>
      </c>
      <c r="E97" s="323">
        <v>4</v>
      </c>
      <c r="F97" s="323">
        <v>22</v>
      </c>
      <c r="G97" s="323">
        <v>28</v>
      </c>
      <c r="H97" s="323">
        <v>37</v>
      </c>
      <c r="I97" s="323">
        <v>42</v>
      </c>
      <c r="J97" s="323">
        <v>45</v>
      </c>
      <c r="K97" s="323">
        <v>49</v>
      </c>
      <c r="L97" s="323">
        <v>52</v>
      </c>
    </row>
    <row r="98" spans="2:12" ht="26.4" x14ac:dyDescent="0.25">
      <c r="B98" t="s">
        <v>735</v>
      </c>
      <c r="C98" t="s">
        <v>181</v>
      </c>
      <c r="D98" s="16">
        <v>0.13</v>
      </c>
      <c r="E98" s="323">
        <v>4</v>
      </c>
      <c r="F98" s="323">
        <v>20</v>
      </c>
      <c r="G98" s="323">
        <v>26</v>
      </c>
      <c r="H98" s="323">
        <v>34</v>
      </c>
      <c r="I98" s="323">
        <v>39</v>
      </c>
      <c r="J98" s="323">
        <v>42</v>
      </c>
      <c r="K98" s="323">
        <v>46</v>
      </c>
      <c r="L98" s="323">
        <v>48</v>
      </c>
    </row>
    <row r="99" spans="2:12" x14ac:dyDescent="0.25">
      <c r="B99" t="s">
        <v>1160</v>
      </c>
      <c r="C99" t="s">
        <v>181</v>
      </c>
      <c r="D99" s="84">
        <v>1</v>
      </c>
      <c r="E99" s="84">
        <v>25</v>
      </c>
      <c r="F99" s="84">
        <v>106</v>
      </c>
      <c r="G99" s="84">
        <v>38</v>
      </c>
      <c r="H99" s="84">
        <v>53</v>
      </c>
      <c r="I99" s="84">
        <v>31</v>
      </c>
      <c r="J99" s="84">
        <v>20</v>
      </c>
      <c r="K99" s="84">
        <v>22</v>
      </c>
      <c r="L99" s="84">
        <v>18</v>
      </c>
    </row>
    <row r="100" spans="2:12" x14ac:dyDescent="0.25">
      <c r="B100" t="s">
        <v>1164</v>
      </c>
      <c r="C100" t="s">
        <v>181</v>
      </c>
      <c r="D100" s="84">
        <v>3</v>
      </c>
      <c r="E100" s="84">
        <v>82</v>
      </c>
      <c r="F100" s="84">
        <v>353</v>
      </c>
      <c r="G100" s="84">
        <v>127</v>
      </c>
      <c r="H100" s="84">
        <v>178</v>
      </c>
      <c r="I100" s="84">
        <v>105</v>
      </c>
      <c r="J100" s="84">
        <v>68</v>
      </c>
      <c r="K100" s="84">
        <v>74</v>
      </c>
      <c r="L100" s="84">
        <v>59</v>
      </c>
    </row>
    <row r="101" spans="2:12" x14ac:dyDescent="0.25">
      <c r="B101" t="s">
        <v>1162</v>
      </c>
      <c r="C101" t="s">
        <v>181</v>
      </c>
      <c r="D101" s="84">
        <v>1</v>
      </c>
      <c r="E101" s="84">
        <v>15</v>
      </c>
      <c r="F101" s="84">
        <v>63</v>
      </c>
      <c r="G101" s="84">
        <v>23</v>
      </c>
      <c r="H101" s="84">
        <v>32</v>
      </c>
      <c r="I101" s="84">
        <v>19</v>
      </c>
      <c r="J101" s="84">
        <v>12</v>
      </c>
      <c r="K101" s="84">
        <v>13</v>
      </c>
      <c r="L101" s="84">
        <v>10</v>
      </c>
    </row>
    <row r="102" spans="2:12" ht="26.4" x14ac:dyDescent="0.25">
      <c r="B102" t="s">
        <v>1163</v>
      </c>
      <c r="C102" t="s">
        <v>181</v>
      </c>
      <c r="D102" s="84">
        <v>0</v>
      </c>
      <c r="E102" s="84">
        <v>11</v>
      </c>
      <c r="F102" s="84">
        <v>46</v>
      </c>
      <c r="G102" s="84">
        <v>17</v>
      </c>
      <c r="H102" s="84">
        <v>23</v>
      </c>
      <c r="I102" s="84">
        <v>14</v>
      </c>
      <c r="J102" s="84">
        <v>9</v>
      </c>
      <c r="K102" s="84">
        <v>10</v>
      </c>
      <c r="L102" s="84">
        <v>8</v>
      </c>
    </row>
    <row r="103" spans="2:12" ht="26.4" x14ac:dyDescent="0.25">
      <c r="B103" t="s">
        <v>1191</v>
      </c>
      <c r="C103" t="s">
        <v>181</v>
      </c>
      <c r="E103" s="648">
        <v>2.8</v>
      </c>
      <c r="F103" s="648">
        <v>12.1</v>
      </c>
      <c r="G103" s="16">
        <v>4.3600000000000003</v>
      </c>
      <c r="H103" s="16" t="s">
        <v>800</v>
      </c>
    </row>
    <row r="104" spans="2:12" ht="26.4" x14ac:dyDescent="0.25">
      <c r="B104" t="s">
        <v>1185</v>
      </c>
      <c r="C104" t="s">
        <v>166</v>
      </c>
      <c r="D104" s="18">
        <v>0.1</v>
      </c>
      <c r="E104" s="18">
        <v>3.1</v>
      </c>
      <c r="F104" s="18">
        <v>15.8</v>
      </c>
      <c r="G104" s="18">
        <v>20.399999999999999</v>
      </c>
      <c r="H104" s="18">
        <v>26.8</v>
      </c>
      <c r="I104" s="18">
        <v>30.6</v>
      </c>
      <c r="J104" s="18">
        <v>33.1</v>
      </c>
      <c r="K104" s="18">
        <v>35.700000000000003</v>
      </c>
      <c r="L104" s="18">
        <v>37.799999999999997</v>
      </c>
    </row>
    <row r="105" spans="2:12" x14ac:dyDescent="0.25">
      <c r="B105" t="s">
        <v>1186</v>
      </c>
      <c r="C105" t="s">
        <v>166</v>
      </c>
      <c r="D105" s="18">
        <v>0.1</v>
      </c>
      <c r="E105" s="18">
        <v>2</v>
      </c>
      <c r="F105" s="18">
        <v>10.5</v>
      </c>
      <c r="G105" s="18">
        <v>13.5</v>
      </c>
      <c r="H105" s="18">
        <v>17.8</v>
      </c>
      <c r="I105" s="18">
        <v>20.3</v>
      </c>
      <c r="J105" s="18">
        <v>21.9</v>
      </c>
      <c r="K105" s="18">
        <v>23.7</v>
      </c>
      <c r="L105" s="18">
        <v>25.1</v>
      </c>
    </row>
    <row r="106" spans="2:12" ht="26.4" x14ac:dyDescent="0.25">
      <c r="B106" t="s">
        <v>1187</v>
      </c>
      <c r="C106" t="s">
        <v>166</v>
      </c>
      <c r="D106" s="18">
        <v>0</v>
      </c>
      <c r="E106" s="18">
        <v>1</v>
      </c>
      <c r="F106" s="18">
        <v>5.3</v>
      </c>
      <c r="G106" s="18">
        <v>6.9</v>
      </c>
      <c r="H106" s="18">
        <v>9</v>
      </c>
      <c r="I106" s="18">
        <v>10.3</v>
      </c>
      <c r="J106" s="18">
        <v>11.1</v>
      </c>
      <c r="K106" s="18">
        <v>12</v>
      </c>
      <c r="L106" s="18">
        <v>12.7</v>
      </c>
    </row>
    <row r="107" spans="2:12" ht="39.6" x14ac:dyDescent="0.25">
      <c r="B107" t="s">
        <v>1188</v>
      </c>
      <c r="C107" t="s">
        <v>214</v>
      </c>
      <c r="D107" s="84">
        <v>648</v>
      </c>
      <c r="E107" s="84">
        <v>19440</v>
      </c>
      <c r="F107" s="84">
        <v>100440</v>
      </c>
      <c r="G107" s="84">
        <v>129600</v>
      </c>
      <c r="H107" s="84">
        <v>170424</v>
      </c>
      <c r="I107" s="84">
        <v>194400</v>
      </c>
      <c r="J107" s="84">
        <v>209952</v>
      </c>
      <c r="K107" s="84">
        <v>226800</v>
      </c>
      <c r="L107" s="84">
        <v>240278</v>
      </c>
    </row>
    <row r="109" spans="2:12" ht="26.4" x14ac:dyDescent="0.25">
      <c r="B109" t="s">
        <v>722</v>
      </c>
      <c r="E109" s="648">
        <v>39</v>
      </c>
      <c r="F109" s="648">
        <v>167.1</v>
      </c>
      <c r="G109" s="648">
        <v>207.5</v>
      </c>
      <c r="H109" s="648">
        <v>248.4</v>
      </c>
      <c r="I109" s="648">
        <v>283.3</v>
      </c>
      <c r="J109" s="648">
        <v>306</v>
      </c>
      <c r="K109" s="648">
        <v>330.6</v>
      </c>
      <c r="L109" s="648">
        <v>350.2</v>
      </c>
    </row>
    <row r="110" spans="2:12" x14ac:dyDescent="0.25">
      <c r="C110" t="s">
        <v>143</v>
      </c>
      <c r="E110">
        <v>2015</v>
      </c>
      <c r="F110">
        <v>2020</v>
      </c>
      <c r="G110">
        <v>2025</v>
      </c>
      <c r="H110">
        <v>2030</v>
      </c>
      <c r="I110">
        <v>2035</v>
      </c>
      <c r="J110">
        <v>2040</v>
      </c>
      <c r="K110">
        <v>2045</v>
      </c>
      <c r="L110">
        <v>2050</v>
      </c>
    </row>
    <row r="111" spans="2:12" ht="26.4" x14ac:dyDescent="0.25">
      <c r="B111" s="648" t="s">
        <v>609</v>
      </c>
      <c r="C111" s="648" t="s">
        <v>65</v>
      </c>
      <c r="D111" s="323"/>
      <c r="E111" s="323">
        <v>382</v>
      </c>
      <c r="F111" s="323">
        <v>1972</v>
      </c>
      <c r="G111" s="323">
        <v>2545</v>
      </c>
      <c r="H111" s="323">
        <v>3347</v>
      </c>
      <c r="I111" s="323">
        <v>3818</v>
      </c>
      <c r="J111" s="323">
        <v>4123</v>
      </c>
      <c r="K111" s="323">
        <v>4454</v>
      </c>
      <c r="L111" s="323">
        <v>4719</v>
      </c>
    </row>
    <row r="112" spans="2:12" ht="26.4" x14ac:dyDescent="0.25">
      <c r="B112" s="648" t="s">
        <v>610</v>
      </c>
      <c r="C112" s="648" t="s">
        <v>181</v>
      </c>
      <c r="D112" s="648"/>
      <c r="E112" s="648">
        <v>39</v>
      </c>
      <c r="F112" s="648">
        <v>167.1</v>
      </c>
      <c r="G112" s="648">
        <v>207.5</v>
      </c>
      <c r="H112" s="648">
        <v>248.4</v>
      </c>
      <c r="I112" s="648">
        <v>283.3</v>
      </c>
      <c r="J112" s="648">
        <v>306</v>
      </c>
      <c r="K112" s="648">
        <v>330.6</v>
      </c>
      <c r="L112" s="648">
        <v>350.2</v>
      </c>
    </row>
    <row r="113" spans="2:12" x14ac:dyDescent="0.25">
      <c r="B113" s="648" t="s">
        <v>736</v>
      </c>
      <c r="C113" s="648" t="s">
        <v>181</v>
      </c>
      <c r="D113" s="648"/>
      <c r="E113" s="648">
        <v>4.2</v>
      </c>
      <c r="F113" s="648">
        <v>21.7</v>
      </c>
      <c r="G113" s="648">
        <v>28</v>
      </c>
      <c r="H113" s="648">
        <v>36.799999999999997</v>
      </c>
      <c r="I113" s="648">
        <v>42</v>
      </c>
      <c r="J113" s="648">
        <v>45.4</v>
      </c>
      <c r="K113" s="648">
        <v>49</v>
      </c>
      <c r="L113" s="648">
        <v>51.9</v>
      </c>
    </row>
    <row r="114" spans="2:12" x14ac:dyDescent="0.25">
      <c r="B114" s="648" t="s">
        <v>590</v>
      </c>
      <c r="C114" s="648" t="s">
        <v>181</v>
      </c>
      <c r="D114" s="648"/>
      <c r="E114" s="648">
        <v>5.0999999999999996</v>
      </c>
      <c r="F114" s="648">
        <v>26.4</v>
      </c>
      <c r="G114" s="648">
        <v>34</v>
      </c>
      <c r="H114" s="648">
        <v>44.7</v>
      </c>
      <c r="I114" s="648">
        <v>51</v>
      </c>
      <c r="J114" s="648">
        <v>55.1</v>
      </c>
      <c r="K114" s="648">
        <v>59.5</v>
      </c>
      <c r="L114" s="648">
        <v>63</v>
      </c>
    </row>
    <row r="115" spans="2:12" x14ac:dyDescent="0.25">
      <c r="B115" s="648" t="s">
        <v>737</v>
      </c>
      <c r="C115" s="648" t="s">
        <v>181</v>
      </c>
      <c r="D115" s="648"/>
      <c r="E115" s="648">
        <v>6.3</v>
      </c>
      <c r="F115" s="648">
        <v>32.6</v>
      </c>
      <c r="G115" s="648">
        <v>42</v>
      </c>
      <c r="H115" s="648">
        <v>55.2</v>
      </c>
      <c r="I115" s="648">
        <v>63</v>
      </c>
      <c r="J115" s="648">
        <v>68</v>
      </c>
      <c r="K115" s="648">
        <v>73.5</v>
      </c>
      <c r="L115" s="648">
        <v>77.900000000000006</v>
      </c>
    </row>
    <row r="116" spans="2:12" x14ac:dyDescent="0.25">
      <c r="B116" s="648" t="s">
        <v>738</v>
      </c>
      <c r="C116" s="648" t="s">
        <v>181</v>
      </c>
      <c r="D116" s="648"/>
      <c r="E116" s="648">
        <v>4.2</v>
      </c>
      <c r="F116" s="648">
        <v>21.7</v>
      </c>
      <c r="G116" s="648">
        <v>28</v>
      </c>
      <c r="H116" s="648">
        <v>36.799999999999997</v>
      </c>
      <c r="I116" s="648">
        <v>42</v>
      </c>
      <c r="J116" s="648">
        <v>45.4</v>
      </c>
      <c r="K116" s="648">
        <v>49</v>
      </c>
      <c r="L116" s="648">
        <v>51.9</v>
      </c>
    </row>
    <row r="117" spans="2:12" x14ac:dyDescent="0.25">
      <c r="B117" s="648" t="s">
        <v>628</v>
      </c>
      <c r="C117" s="648" t="s">
        <v>181</v>
      </c>
      <c r="D117" s="648"/>
      <c r="E117" s="648">
        <v>3.9</v>
      </c>
      <c r="F117" s="648">
        <v>20.2</v>
      </c>
      <c r="G117" s="648">
        <v>26</v>
      </c>
      <c r="H117" s="648">
        <v>34.200000000000003</v>
      </c>
      <c r="I117" s="648">
        <v>39</v>
      </c>
      <c r="J117" s="648">
        <v>42.1</v>
      </c>
      <c r="K117" s="648">
        <v>45.5</v>
      </c>
      <c r="L117" s="648">
        <v>48.2</v>
      </c>
    </row>
    <row r="118" spans="2:12" x14ac:dyDescent="0.25">
      <c r="B118" s="648" t="s">
        <v>631</v>
      </c>
      <c r="C118" s="648" t="s">
        <v>181</v>
      </c>
      <c r="D118" s="648"/>
      <c r="E118" s="648">
        <v>15.3</v>
      </c>
      <c r="F118" s="648">
        <v>44.7</v>
      </c>
      <c r="G118" s="648">
        <v>49.5</v>
      </c>
      <c r="H118" s="648">
        <v>40.6</v>
      </c>
      <c r="I118" s="648">
        <v>46.3</v>
      </c>
      <c r="J118" s="648">
        <v>50</v>
      </c>
      <c r="K118" s="648">
        <v>54.1</v>
      </c>
      <c r="L118" s="648">
        <v>57.3</v>
      </c>
    </row>
    <row r="119" spans="2:12" x14ac:dyDescent="0.25">
      <c r="B119" s="648" t="s">
        <v>597</v>
      </c>
      <c r="C119" s="648" t="s">
        <v>181</v>
      </c>
      <c r="D119" s="648"/>
      <c r="E119" s="648">
        <v>3.1</v>
      </c>
      <c r="F119" s="648">
        <v>15.8</v>
      </c>
      <c r="G119" s="648">
        <v>20.399999999999999</v>
      </c>
      <c r="H119" s="648">
        <v>26.8</v>
      </c>
      <c r="I119" s="648">
        <v>30.6</v>
      </c>
      <c r="J119" s="648">
        <v>33.1</v>
      </c>
      <c r="K119" s="648">
        <v>35.700000000000003</v>
      </c>
      <c r="L119" s="648">
        <v>37.799999999999997</v>
      </c>
    </row>
    <row r="120" spans="2:12" ht="26.4" x14ac:dyDescent="0.25">
      <c r="B120" s="648" t="s">
        <v>592</v>
      </c>
      <c r="C120" s="648" t="s">
        <v>181</v>
      </c>
      <c r="D120" s="648"/>
      <c r="E120" s="648">
        <v>25.3</v>
      </c>
      <c r="F120" s="648">
        <v>130.6</v>
      </c>
      <c r="G120" s="648">
        <v>168.5</v>
      </c>
      <c r="H120" s="648">
        <v>221.6</v>
      </c>
      <c r="I120" s="648">
        <v>252.7</v>
      </c>
      <c r="J120" s="648">
        <v>272.89999999999998</v>
      </c>
      <c r="K120" s="648">
        <v>294.8</v>
      </c>
      <c r="L120" s="648">
        <v>312.39999999999998</v>
      </c>
    </row>
    <row r="121" spans="2:12" x14ac:dyDescent="0.25">
      <c r="B121" s="648" t="s">
        <v>189</v>
      </c>
      <c r="C121" s="648" t="s">
        <v>181</v>
      </c>
      <c r="D121" s="648"/>
      <c r="E121" s="648">
        <v>131.80000000000001</v>
      </c>
      <c r="F121" s="648">
        <v>568.20000000000005</v>
      </c>
      <c r="G121" s="648">
        <v>204.6</v>
      </c>
      <c r="H121" s="648">
        <v>286.39999999999998</v>
      </c>
      <c r="I121" s="648">
        <v>168.2</v>
      </c>
      <c r="J121" s="648">
        <v>109.1</v>
      </c>
      <c r="K121" s="648">
        <v>118.2</v>
      </c>
      <c r="L121" s="648">
        <v>94.6</v>
      </c>
    </row>
    <row r="122" spans="2:12" x14ac:dyDescent="0.25">
      <c r="B122" s="648" t="s">
        <v>190</v>
      </c>
      <c r="C122" s="648" t="s">
        <v>181</v>
      </c>
      <c r="D122" s="648"/>
      <c r="E122" s="648">
        <v>24.6</v>
      </c>
      <c r="F122" s="648">
        <v>106</v>
      </c>
      <c r="G122" s="648">
        <v>38.200000000000003</v>
      </c>
      <c r="H122" s="648">
        <v>53.4</v>
      </c>
      <c r="I122" s="648">
        <v>31.4</v>
      </c>
      <c r="J122" s="648">
        <v>20.399999999999999</v>
      </c>
      <c r="K122" s="648">
        <v>22.1</v>
      </c>
      <c r="L122" s="648">
        <v>17.600000000000001</v>
      </c>
    </row>
    <row r="123" spans="2:12" x14ac:dyDescent="0.25">
      <c r="B123" s="648" t="s">
        <v>192</v>
      </c>
      <c r="C123" s="648" t="s">
        <v>181</v>
      </c>
      <c r="D123" s="648"/>
      <c r="E123" s="648">
        <v>82</v>
      </c>
      <c r="F123" s="648">
        <v>353.4</v>
      </c>
      <c r="G123" s="648">
        <v>127.2</v>
      </c>
      <c r="H123" s="648">
        <v>178.1</v>
      </c>
      <c r="I123" s="648">
        <v>104.6</v>
      </c>
      <c r="J123" s="648">
        <v>67.900000000000006</v>
      </c>
      <c r="K123" s="648">
        <v>73.5</v>
      </c>
      <c r="L123" s="648">
        <v>58.8</v>
      </c>
    </row>
    <row r="124" spans="2:12" x14ac:dyDescent="0.25">
      <c r="B124" s="648" t="s">
        <v>193</v>
      </c>
      <c r="C124" s="648" t="s">
        <v>181</v>
      </c>
      <c r="D124" s="648"/>
      <c r="E124" s="648">
        <v>14.5</v>
      </c>
      <c r="F124" s="648">
        <v>62.5</v>
      </c>
      <c r="G124" s="648">
        <v>22.5</v>
      </c>
      <c r="H124" s="648">
        <v>31.5</v>
      </c>
      <c r="I124" s="648">
        <v>18.5</v>
      </c>
      <c r="J124" s="648">
        <v>12</v>
      </c>
      <c r="K124" s="648">
        <v>13</v>
      </c>
      <c r="L124" s="648">
        <v>10.4</v>
      </c>
    </row>
    <row r="125" spans="2:12" x14ac:dyDescent="0.25">
      <c r="B125" s="648" t="s">
        <v>194</v>
      </c>
      <c r="C125" s="648" t="s">
        <v>181</v>
      </c>
      <c r="D125" s="648"/>
      <c r="E125" s="648">
        <v>10.7</v>
      </c>
      <c r="F125" s="648">
        <v>46.2</v>
      </c>
      <c r="G125" s="648">
        <v>16.600000000000001</v>
      </c>
      <c r="H125" s="648">
        <v>23.3</v>
      </c>
      <c r="I125" s="648">
        <v>13.7</v>
      </c>
      <c r="J125" s="648">
        <v>8.9</v>
      </c>
      <c r="K125" s="648">
        <v>9.6</v>
      </c>
      <c r="L125" s="648">
        <v>7.7</v>
      </c>
    </row>
    <row r="126" spans="2:12" ht="26.4" x14ac:dyDescent="0.25">
      <c r="B126" s="648" t="s">
        <v>730</v>
      </c>
      <c r="C126" s="648" t="s">
        <v>181</v>
      </c>
      <c r="D126" s="648"/>
      <c r="E126" s="648">
        <v>6.3</v>
      </c>
      <c r="F126" s="648">
        <v>122.8</v>
      </c>
      <c r="G126" s="648">
        <v>118.4</v>
      </c>
      <c r="H126" s="648">
        <v>136.80000000000001</v>
      </c>
      <c r="I126" s="648">
        <v>192.1</v>
      </c>
      <c r="J126" s="648">
        <v>234.1</v>
      </c>
      <c r="K126" s="648">
        <v>277.8</v>
      </c>
      <c r="L126" s="648">
        <v>323.7</v>
      </c>
    </row>
    <row r="127" spans="2:12" x14ac:dyDescent="0.25">
      <c r="B127" s="648" t="s">
        <v>594</v>
      </c>
      <c r="C127" s="648" t="s">
        <v>181</v>
      </c>
      <c r="D127" s="648"/>
      <c r="E127" s="648">
        <v>10.6</v>
      </c>
      <c r="F127" s="648">
        <v>20.7</v>
      </c>
      <c r="G127" s="648">
        <v>18.600000000000001</v>
      </c>
      <c r="H127" s="648">
        <v>0</v>
      </c>
      <c r="I127" s="648">
        <v>0</v>
      </c>
      <c r="J127" s="648">
        <v>0</v>
      </c>
      <c r="K127" s="648">
        <v>0</v>
      </c>
      <c r="L127" s="648">
        <v>0</v>
      </c>
    </row>
    <row r="128" spans="2:12" x14ac:dyDescent="0.25">
      <c r="B128" s="648" t="s">
        <v>195</v>
      </c>
      <c r="C128" s="648"/>
      <c r="D128" s="648"/>
      <c r="E128" s="648"/>
      <c r="F128" s="648"/>
      <c r="G128" s="648"/>
      <c r="H128" s="648"/>
      <c r="I128" s="648"/>
      <c r="J128" s="648"/>
      <c r="K128" s="648"/>
      <c r="L128" s="648"/>
    </row>
    <row r="129" spans="2:12" x14ac:dyDescent="0.25">
      <c r="B129" s="648" t="s">
        <v>595</v>
      </c>
      <c r="C129" s="648" t="s">
        <v>196</v>
      </c>
      <c r="D129" s="648"/>
      <c r="E129" s="84">
        <v>8605</v>
      </c>
      <c r="F129" s="84">
        <v>44459</v>
      </c>
      <c r="G129" s="84">
        <v>57366</v>
      </c>
      <c r="H129" s="84">
        <v>75437</v>
      </c>
      <c r="I129" s="84">
        <v>86049</v>
      </c>
      <c r="J129" s="84">
        <v>92933</v>
      </c>
      <c r="K129" s="84">
        <v>100391</v>
      </c>
      <c r="L129" s="84">
        <v>106357</v>
      </c>
    </row>
    <row r="130" spans="2:12" x14ac:dyDescent="0.25">
      <c r="B130" s="648" t="s">
        <v>596</v>
      </c>
      <c r="C130" s="648" t="s">
        <v>65</v>
      </c>
      <c r="D130" s="648">
        <v>36</v>
      </c>
      <c r="E130" s="648">
        <v>1080</v>
      </c>
      <c r="F130" s="648">
        <v>5580</v>
      </c>
      <c r="G130" s="648">
        <v>7200</v>
      </c>
      <c r="H130" s="648">
        <v>9468</v>
      </c>
      <c r="I130" s="648">
        <v>10800</v>
      </c>
      <c r="J130" s="648">
        <v>11664</v>
      </c>
      <c r="K130" s="648">
        <v>12600</v>
      </c>
      <c r="L130" s="648">
        <v>13348.8</v>
      </c>
    </row>
    <row r="131" spans="2:12" x14ac:dyDescent="0.25">
      <c r="B131" s="648" t="s">
        <v>598</v>
      </c>
      <c r="C131" s="648" t="s">
        <v>718</v>
      </c>
      <c r="D131" s="648"/>
      <c r="E131" s="84">
        <v>19</v>
      </c>
      <c r="F131" s="84">
        <v>100</v>
      </c>
      <c r="G131" s="84">
        <v>130</v>
      </c>
      <c r="H131" s="84">
        <v>170</v>
      </c>
      <c r="I131" s="84">
        <v>194</v>
      </c>
      <c r="J131" s="84">
        <v>210</v>
      </c>
      <c r="K131" s="84">
        <v>227</v>
      </c>
      <c r="L131" s="84">
        <v>240</v>
      </c>
    </row>
    <row r="134" spans="2:12" x14ac:dyDescent="0.25">
      <c r="B134" s="648"/>
      <c r="C134" s="648" t="s">
        <v>143</v>
      </c>
      <c r="D134" s="648"/>
      <c r="E134" s="323">
        <v>2015</v>
      </c>
      <c r="F134" s="323">
        <v>2020</v>
      </c>
      <c r="G134" s="323">
        <v>2025</v>
      </c>
      <c r="H134" s="323">
        <v>2030</v>
      </c>
      <c r="I134" s="323">
        <v>2035</v>
      </c>
      <c r="J134" s="323">
        <v>2040</v>
      </c>
      <c r="K134" s="323">
        <v>2045</v>
      </c>
      <c r="L134" s="323">
        <v>2050</v>
      </c>
    </row>
    <row r="135" spans="2:12" ht="26.4" x14ac:dyDescent="0.25">
      <c r="B135" s="648" t="s">
        <v>609</v>
      </c>
      <c r="C135" s="648" t="s">
        <v>65</v>
      </c>
      <c r="D135" s="648"/>
      <c r="E135" s="648">
        <v>342.9</v>
      </c>
      <c r="F135" s="648">
        <v>685.8</v>
      </c>
      <c r="G135" s="648">
        <v>1376.5</v>
      </c>
      <c r="H135" s="648">
        <v>2067.1999999999998</v>
      </c>
      <c r="I135" s="648">
        <v>1997.2</v>
      </c>
      <c r="J135" s="648">
        <v>1926.8</v>
      </c>
      <c r="K135" s="648">
        <v>1891.8</v>
      </c>
      <c r="L135" s="648">
        <v>1786.9</v>
      </c>
    </row>
    <row r="136" spans="2:12" ht="26.4" x14ac:dyDescent="0.25">
      <c r="B136" s="648" t="s">
        <v>610</v>
      </c>
      <c r="C136" s="648" t="s">
        <v>181</v>
      </c>
      <c r="D136" s="648"/>
      <c r="E136" s="648">
        <v>26.1</v>
      </c>
      <c r="F136" s="648">
        <v>64.7</v>
      </c>
      <c r="G136" s="648">
        <v>120.1</v>
      </c>
      <c r="H136" s="648">
        <v>167.6</v>
      </c>
      <c r="I136" s="648">
        <v>159.1</v>
      </c>
      <c r="J136" s="648">
        <v>155.9</v>
      </c>
      <c r="K136" s="648">
        <v>155.19999999999999</v>
      </c>
      <c r="L136" s="648">
        <v>149.30000000000001</v>
      </c>
    </row>
    <row r="137" spans="2:12" x14ac:dyDescent="0.25">
      <c r="B137" s="648" t="s">
        <v>736</v>
      </c>
      <c r="C137" s="648" t="s">
        <v>181</v>
      </c>
      <c r="D137" s="648"/>
      <c r="E137" s="648">
        <v>3.8</v>
      </c>
      <c r="F137" s="648">
        <v>7.5</v>
      </c>
      <c r="G137" s="648">
        <v>15.1</v>
      </c>
      <c r="H137" s="648">
        <v>22.7</v>
      </c>
      <c r="I137" s="648">
        <v>22</v>
      </c>
      <c r="J137" s="648">
        <v>21.2</v>
      </c>
      <c r="K137" s="648">
        <v>20.8</v>
      </c>
      <c r="L137" s="648">
        <v>19.7</v>
      </c>
    </row>
    <row r="138" spans="2:12" x14ac:dyDescent="0.25">
      <c r="B138" s="648" t="s">
        <v>590</v>
      </c>
      <c r="C138" s="648" t="s">
        <v>181</v>
      </c>
      <c r="D138" s="648"/>
      <c r="E138" s="648">
        <v>4.5999999999999996</v>
      </c>
      <c r="F138" s="648">
        <v>9.1999999999999993</v>
      </c>
      <c r="G138" s="648">
        <v>18.399999999999999</v>
      </c>
      <c r="H138" s="648">
        <v>27.6</v>
      </c>
      <c r="I138" s="648">
        <v>26.7</v>
      </c>
      <c r="J138" s="648">
        <v>25.7</v>
      </c>
      <c r="K138" s="648">
        <v>25.3</v>
      </c>
      <c r="L138" s="648">
        <v>23.9</v>
      </c>
    </row>
    <row r="139" spans="2:12" x14ac:dyDescent="0.25">
      <c r="B139" s="648" t="s">
        <v>737</v>
      </c>
      <c r="C139" s="648" t="s">
        <v>181</v>
      </c>
      <c r="D139" s="648"/>
      <c r="E139" s="648">
        <v>5.7</v>
      </c>
      <c r="F139" s="648">
        <v>11.3</v>
      </c>
      <c r="G139" s="648">
        <v>22.7</v>
      </c>
      <c r="H139" s="648">
        <v>34.1</v>
      </c>
      <c r="I139" s="648">
        <v>33</v>
      </c>
      <c r="J139" s="648">
        <v>31.8</v>
      </c>
      <c r="K139" s="648">
        <v>31.2</v>
      </c>
      <c r="L139" s="648">
        <v>29.5</v>
      </c>
    </row>
    <row r="140" spans="2:12" x14ac:dyDescent="0.25">
      <c r="B140" s="648" t="s">
        <v>738</v>
      </c>
      <c r="C140" s="648" t="s">
        <v>181</v>
      </c>
      <c r="D140" s="648"/>
      <c r="E140" s="648">
        <v>3.8</v>
      </c>
      <c r="F140" s="648">
        <v>7.5</v>
      </c>
      <c r="G140" s="648">
        <v>15.1</v>
      </c>
      <c r="H140" s="648">
        <v>22.7</v>
      </c>
      <c r="I140" s="648">
        <v>22</v>
      </c>
      <c r="J140" s="648">
        <v>21.2</v>
      </c>
      <c r="K140" s="648">
        <v>20.8</v>
      </c>
      <c r="L140" s="648">
        <v>19.7</v>
      </c>
    </row>
    <row r="141" spans="2:12" x14ac:dyDescent="0.25">
      <c r="B141" s="648" t="s">
        <v>628</v>
      </c>
      <c r="C141" s="648" t="s">
        <v>181</v>
      </c>
      <c r="D141" s="648"/>
      <c r="E141" s="648">
        <v>3.5</v>
      </c>
      <c r="F141" s="648">
        <v>7</v>
      </c>
      <c r="G141" s="648">
        <v>14.1</v>
      </c>
      <c r="H141" s="648">
        <v>21.1</v>
      </c>
      <c r="I141" s="648">
        <v>20.399999999999999</v>
      </c>
      <c r="J141" s="648">
        <v>19.7</v>
      </c>
      <c r="K141" s="648">
        <v>19.3</v>
      </c>
      <c r="L141" s="648">
        <v>18.3</v>
      </c>
    </row>
    <row r="142" spans="2:12" x14ac:dyDescent="0.25">
      <c r="B142" s="648" t="s">
        <v>631</v>
      </c>
      <c r="C142" s="648" t="s">
        <v>181</v>
      </c>
      <c r="D142" s="648"/>
      <c r="E142" s="648">
        <v>4.8</v>
      </c>
      <c r="F142" s="648">
        <v>22.1</v>
      </c>
      <c r="G142" s="648">
        <v>34.6</v>
      </c>
      <c r="H142" s="648">
        <v>39.200000000000003</v>
      </c>
      <c r="I142" s="648">
        <v>35.1</v>
      </c>
      <c r="J142" s="648">
        <v>36.200000000000003</v>
      </c>
      <c r="K142" s="648">
        <v>37.700000000000003</v>
      </c>
      <c r="L142" s="648">
        <v>38.4</v>
      </c>
    </row>
    <row r="143" spans="2:12" x14ac:dyDescent="0.25">
      <c r="B143" s="648" t="s">
        <v>597</v>
      </c>
      <c r="C143" s="648" t="s">
        <v>181</v>
      </c>
      <c r="D143" s="648"/>
      <c r="E143" s="648">
        <v>3.2</v>
      </c>
      <c r="F143" s="648">
        <v>12.8</v>
      </c>
      <c r="G143" s="648">
        <v>18.100000000000001</v>
      </c>
      <c r="H143" s="648">
        <v>24.7</v>
      </c>
      <c r="I143" s="648">
        <v>26.9</v>
      </c>
      <c r="J143" s="648">
        <v>28.3</v>
      </c>
      <c r="K143" s="648">
        <v>30</v>
      </c>
      <c r="L143" s="648">
        <v>31</v>
      </c>
    </row>
    <row r="144" spans="2:12" ht="26.4" x14ac:dyDescent="0.25">
      <c r="B144" s="648" t="s">
        <v>592</v>
      </c>
      <c r="C144" s="648" t="s">
        <v>181</v>
      </c>
      <c r="D144" s="648"/>
      <c r="E144" s="648">
        <v>20.2</v>
      </c>
      <c r="F144" s="648">
        <v>47</v>
      </c>
      <c r="G144" s="648">
        <v>101.1</v>
      </c>
      <c r="H144" s="648">
        <v>136.80000000000001</v>
      </c>
      <c r="I144" s="648">
        <v>132.19999999999999</v>
      </c>
      <c r="J144" s="648">
        <v>127.6</v>
      </c>
      <c r="K144" s="648">
        <v>125.2</v>
      </c>
      <c r="L144" s="648">
        <v>118.3</v>
      </c>
    </row>
    <row r="145" spans="2:12" x14ac:dyDescent="0.25">
      <c r="B145" s="648" t="s">
        <v>189</v>
      </c>
      <c r="C145" s="648" t="s">
        <v>181</v>
      </c>
      <c r="D145" s="648"/>
      <c r="E145" s="648">
        <v>118.4</v>
      </c>
      <c r="F145" s="648">
        <v>197.6</v>
      </c>
      <c r="G145" s="648">
        <v>110.6</v>
      </c>
      <c r="H145" s="648">
        <v>176.9</v>
      </c>
      <c r="I145" s="648">
        <v>88</v>
      </c>
      <c r="J145" s="648">
        <v>51</v>
      </c>
      <c r="K145" s="648">
        <v>50.2</v>
      </c>
      <c r="L145" s="648">
        <v>35.799999999999997</v>
      </c>
    </row>
    <row r="146" spans="2:12" x14ac:dyDescent="0.25">
      <c r="B146" s="648" t="s">
        <v>190</v>
      </c>
      <c r="C146" s="648" t="s">
        <v>181</v>
      </c>
      <c r="D146" s="648"/>
      <c r="E146" s="648">
        <v>22.1</v>
      </c>
      <c r="F146" s="648">
        <v>36.9</v>
      </c>
      <c r="G146" s="648">
        <v>20.6</v>
      </c>
      <c r="H146" s="648">
        <v>33</v>
      </c>
      <c r="I146" s="648">
        <v>16.399999999999999</v>
      </c>
      <c r="J146" s="648">
        <v>9.5</v>
      </c>
      <c r="K146" s="648">
        <v>9.4</v>
      </c>
      <c r="L146" s="648">
        <v>6.7</v>
      </c>
    </row>
    <row r="147" spans="2:12" x14ac:dyDescent="0.25">
      <c r="B147" s="648" t="s">
        <v>192</v>
      </c>
      <c r="C147" s="648" t="s">
        <v>181</v>
      </c>
      <c r="D147" s="648"/>
      <c r="E147" s="648">
        <v>73.599999999999994</v>
      </c>
      <c r="F147" s="648">
        <v>122.9</v>
      </c>
      <c r="G147" s="648">
        <v>68.8</v>
      </c>
      <c r="H147" s="648">
        <v>110</v>
      </c>
      <c r="I147" s="648">
        <v>54.7</v>
      </c>
      <c r="J147" s="648">
        <v>31.7</v>
      </c>
      <c r="K147" s="648">
        <v>31.2</v>
      </c>
      <c r="L147" s="648">
        <v>22.3</v>
      </c>
    </row>
    <row r="148" spans="2:12" x14ac:dyDescent="0.25">
      <c r="B148" s="648" t="s">
        <v>193</v>
      </c>
      <c r="C148" s="648" t="s">
        <v>181</v>
      </c>
      <c r="D148" s="648"/>
      <c r="E148" s="648">
        <v>13</v>
      </c>
      <c r="F148" s="648">
        <v>21.7</v>
      </c>
      <c r="G148" s="648">
        <v>12.2</v>
      </c>
      <c r="H148" s="648">
        <v>19.5</v>
      </c>
      <c r="I148" s="648">
        <v>9.6999999999999993</v>
      </c>
      <c r="J148" s="648">
        <v>5.6</v>
      </c>
      <c r="K148" s="648">
        <v>5.5</v>
      </c>
      <c r="L148" s="648">
        <v>3.9</v>
      </c>
    </row>
    <row r="149" spans="2:12" x14ac:dyDescent="0.25">
      <c r="B149" s="648" t="s">
        <v>194</v>
      </c>
      <c r="C149" s="648" t="s">
        <v>181</v>
      </c>
      <c r="D149" s="648"/>
      <c r="E149" s="648">
        <v>9.6</v>
      </c>
      <c r="F149" s="648">
        <v>16.100000000000001</v>
      </c>
      <c r="G149" s="648">
        <v>9</v>
      </c>
      <c r="H149" s="648">
        <v>14.4</v>
      </c>
      <c r="I149" s="648">
        <v>7.2</v>
      </c>
      <c r="J149" s="648">
        <v>4.0999999999999996</v>
      </c>
      <c r="K149" s="648">
        <v>4.0999999999999996</v>
      </c>
      <c r="L149" s="648">
        <v>2.9</v>
      </c>
    </row>
    <row r="150" spans="2:12" ht="26.4" x14ac:dyDescent="0.25">
      <c r="B150" s="648" t="s">
        <v>730</v>
      </c>
      <c r="C150" s="648" t="s">
        <v>181</v>
      </c>
      <c r="D150" s="648"/>
      <c r="E150" s="648">
        <v>3.2</v>
      </c>
      <c r="F150" s="648">
        <v>12.8</v>
      </c>
      <c r="G150" s="648">
        <v>18.100000000000001</v>
      </c>
      <c r="H150" s="648">
        <v>24.7</v>
      </c>
      <c r="I150" s="648">
        <v>26.9</v>
      </c>
      <c r="J150" s="648">
        <v>28.3</v>
      </c>
      <c r="K150" s="648">
        <v>30</v>
      </c>
      <c r="L150" s="648">
        <v>31</v>
      </c>
    </row>
    <row r="151" spans="2:12" x14ac:dyDescent="0.25">
      <c r="B151" s="648" t="s">
        <v>594</v>
      </c>
      <c r="C151" s="648" t="s">
        <v>181</v>
      </c>
      <c r="D151" s="648"/>
      <c r="E151" s="648">
        <v>2.8</v>
      </c>
      <c r="F151" s="648">
        <v>4.9000000000000004</v>
      </c>
      <c r="G151" s="648">
        <v>0.9</v>
      </c>
      <c r="H151" s="648">
        <v>6.1</v>
      </c>
      <c r="I151" s="648">
        <v>0</v>
      </c>
      <c r="J151" s="648">
        <v>0</v>
      </c>
      <c r="K151" s="648">
        <v>0</v>
      </c>
      <c r="L151" s="648">
        <v>0</v>
      </c>
    </row>
    <row r="152" spans="2:12" x14ac:dyDescent="0.25">
      <c r="B152" s="648" t="s">
        <v>195</v>
      </c>
      <c r="C152" s="648"/>
      <c r="D152" s="648"/>
      <c r="E152" s="648"/>
      <c r="F152" s="648"/>
      <c r="G152" s="648"/>
      <c r="H152" s="648"/>
      <c r="I152" s="648"/>
      <c r="J152" s="648"/>
      <c r="K152" s="648"/>
      <c r="L152" s="648"/>
    </row>
    <row r="153" spans="2:12" x14ac:dyDescent="0.25">
      <c r="B153" s="648" t="s">
        <v>595</v>
      </c>
      <c r="C153" s="648" t="s">
        <v>196</v>
      </c>
      <c r="D153" s="648"/>
      <c r="E153" s="648">
        <v>7728.5</v>
      </c>
      <c r="F153" s="648">
        <v>15457</v>
      </c>
      <c r="G153" s="648">
        <v>31025.599999999999</v>
      </c>
      <c r="H153" s="648">
        <v>46594.1</v>
      </c>
      <c r="I153" s="648">
        <v>45016.5</v>
      </c>
      <c r="J153" s="648">
        <v>43431</v>
      </c>
      <c r="K153" s="648">
        <v>42642.2</v>
      </c>
      <c r="L153" s="648">
        <v>40275.9</v>
      </c>
    </row>
    <row r="154" spans="2:12" x14ac:dyDescent="0.25">
      <c r="B154" s="648" t="s">
        <v>596</v>
      </c>
      <c r="C154" s="648" t="s">
        <v>65</v>
      </c>
      <c r="D154" s="648">
        <v>36</v>
      </c>
      <c r="E154" s="648">
        <v>1080</v>
      </c>
      <c r="F154" s="648">
        <v>5580</v>
      </c>
      <c r="G154" s="648">
        <v>7200</v>
      </c>
      <c r="H154" s="648">
        <v>9468</v>
      </c>
      <c r="I154" s="648">
        <v>10800</v>
      </c>
      <c r="J154" s="648">
        <v>11664</v>
      </c>
      <c r="K154" s="648">
        <v>12600</v>
      </c>
      <c r="L154" s="648">
        <v>13348.8</v>
      </c>
    </row>
    <row r="155" spans="2:12" x14ac:dyDescent="0.25">
      <c r="B155" s="648" t="s">
        <v>598</v>
      </c>
      <c r="C155" s="648" t="s">
        <v>718</v>
      </c>
      <c r="D155" s="648"/>
      <c r="E155" s="648">
        <v>17.5</v>
      </c>
      <c r="F155" s="648">
        <v>34.9</v>
      </c>
      <c r="G155" s="648">
        <v>70.099999999999994</v>
      </c>
      <c r="H155" s="648">
        <v>105.3</v>
      </c>
      <c r="I155" s="648">
        <v>101.7</v>
      </c>
      <c r="J155" s="648">
        <v>98.1</v>
      </c>
      <c r="K155" s="648">
        <v>96.3</v>
      </c>
      <c r="L155" s="648">
        <v>91</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4"/>
  <sheetViews>
    <sheetView topLeftCell="B1" zoomScale="125" zoomScaleNormal="125" zoomScalePageLayoutView="125" workbookViewId="0">
      <pane ySplit="2" topLeftCell="A297" activePane="bottomLeft" state="frozen"/>
      <selection pane="bottomLeft" activeCell="D307" sqref="D307"/>
    </sheetView>
  </sheetViews>
  <sheetFormatPr defaultColWidth="17.109375" defaultRowHeight="12.75" customHeight="1" x14ac:dyDescent="0.25"/>
  <cols>
    <col min="1" max="1" width="37.6640625" customWidth="1"/>
    <col min="2" max="2" width="49.33203125" customWidth="1"/>
    <col min="3" max="3" width="11.109375" customWidth="1"/>
    <col min="4" max="4" width="12.77734375" customWidth="1"/>
    <col min="5" max="5" width="9.6640625" customWidth="1"/>
    <col min="6" max="6" width="11.77734375" customWidth="1"/>
    <col min="7" max="7" width="8.6640625" customWidth="1"/>
    <col min="8" max="8" width="11.109375" customWidth="1"/>
    <col min="9" max="9" width="11.6640625" customWidth="1"/>
    <col min="10" max="10" width="11.44140625" customWidth="1"/>
    <col min="16" max="16" width="28.77734375" customWidth="1"/>
    <col min="19" max="19" width="18.109375" customWidth="1"/>
  </cols>
  <sheetData>
    <row r="1" spans="1:21" ht="12.75" customHeight="1" x14ac:dyDescent="0.25">
      <c r="K1" s="43"/>
      <c r="L1" s="43"/>
    </row>
    <row r="2" spans="1:21" ht="12.75" customHeight="1" x14ac:dyDescent="0.25">
      <c r="A2" t="s">
        <v>289</v>
      </c>
      <c r="J2" s="56"/>
      <c r="K2" t="s">
        <v>22</v>
      </c>
      <c r="T2" t="s">
        <v>63</v>
      </c>
      <c r="U2" t="s">
        <v>1122</v>
      </c>
    </row>
    <row r="3" spans="1:21" ht="12.75" customHeight="1" x14ac:dyDescent="0.25">
      <c r="A3" t="s">
        <v>290</v>
      </c>
      <c r="B3" t="s">
        <v>291</v>
      </c>
      <c r="C3" t="s">
        <v>292</v>
      </c>
      <c r="D3" t="s">
        <v>293</v>
      </c>
      <c r="E3" t="s">
        <v>294</v>
      </c>
      <c r="F3" t="s">
        <v>295</v>
      </c>
      <c r="G3" t="s">
        <v>296</v>
      </c>
      <c r="H3" t="s">
        <v>297</v>
      </c>
      <c r="J3" s="56"/>
      <c r="M3" t="s">
        <v>12</v>
      </c>
      <c r="N3" t="s">
        <v>24</v>
      </c>
      <c r="O3" t="s">
        <v>25</v>
      </c>
      <c r="P3" t="s">
        <v>26</v>
      </c>
      <c r="R3" t="s">
        <v>1123</v>
      </c>
      <c r="S3" s="84">
        <v>1000</v>
      </c>
    </row>
    <row r="4" spans="1:21" ht="12.75" customHeight="1" x14ac:dyDescent="0.25">
      <c r="B4">
        <v>700000</v>
      </c>
      <c r="C4">
        <v>77000</v>
      </c>
      <c r="D4">
        <v>1200000</v>
      </c>
      <c r="E4">
        <v>60000</v>
      </c>
      <c r="F4">
        <v>750000</v>
      </c>
      <c r="G4">
        <v>82500</v>
      </c>
      <c r="J4" s="56"/>
      <c r="L4" t="s">
        <v>12</v>
      </c>
      <c r="M4">
        <v>1</v>
      </c>
      <c r="N4">
        <v>11.63</v>
      </c>
      <c r="O4">
        <v>41.868000000000002</v>
      </c>
      <c r="P4">
        <v>10</v>
      </c>
      <c r="R4" t="s">
        <v>1124</v>
      </c>
      <c r="S4" s="84">
        <v>1000000</v>
      </c>
      <c r="T4">
        <v>1000000</v>
      </c>
    </row>
    <row r="5" spans="1:21" ht="12.75" customHeight="1" x14ac:dyDescent="0.25">
      <c r="C5">
        <v>0</v>
      </c>
      <c r="F5">
        <v>524286</v>
      </c>
      <c r="G5">
        <v>57671</v>
      </c>
      <c r="H5">
        <v>232570</v>
      </c>
      <c r="J5" s="56"/>
      <c r="L5" t="s">
        <v>24</v>
      </c>
      <c r="M5">
        <v>8.5980000000000001E-2</v>
      </c>
      <c r="N5">
        <v>1</v>
      </c>
      <c r="O5">
        <v>3.6</v>
      </c>
      <c r="P5">
        <v>0.86</v>
      </c>
      <c r="R5" t="s">
        <v>1125</v>
      </c>
      <c r="S5" s="84">
        <v>1000000000</v>
      </c>
    </row>
    <row r="6" spans="1:21" ht="12.75" customHeight="1" x14ac:dyDescent="0.25">
      <c r="B6">
        <v>904800</v>
      </c>
      <c r="C6">
        <v>99528</v>
      </c>
      <c r="D6">
        <v>2494302</v>
      </c>
      <c r="E6">
        <v>124715</v>
      </c>
      <c r="F6">
        <v>809156</v>
      </c>
      <c r="G6">
        <v>89007</v>
      </c>
      <c r="H6">
        <v>15770</v>
      </c>
      <c r="J6" s="56"/>
      <c r="L6" t="s">
        <v>25</v>
      </c>
      <c r="M6">
        <v>2.3879999999999998E-2</v>
      </c>
      <c r="N6">
        <v>0.27779999999999999</v>
      </c>
      <c r="O6">
        <v>1</v>
      </c>
      <c r="P6">
        <v>0.23880000000000001</v>
      </c>
      <c r="R6" t="s">
        <v>1126</v>
      </c>
      <c r="S6" s="84">
        <v>1000000000000</v>
      </c>
    </row>
    <row r="7" spans="1:21" ht="12.75" customHeight="1" x14ac:dyDescent="0.25">
      <c r="B7">
        <v>550000</v>
      </c>
      <c r="C7">
        <v>60500</v>
      </c>
      <c r="D7">
        <v>2500000</v>
      </c>
      <c r="E7">
        <v>125000</v>
      </c>
      <c r="F7">
        <v>897000</v>
      </c>
      <c r="G7">
        <v>98670</v>
      </c>
      <c r="H7">
        <v>142500</v>
      </c>
      <c r="J7" s="56"/>
      <c r="L7" t="s">
        <v>26</v>
      </c>
      <c r="M7">
        <v>0.1</v>
      </c>
      <c r="N7">
        <v>1.163</v>
      </c>
      <c r="O7">
        <v>4.1867999999999999</v>
      </c>
      <c r="P7">
        <v>1</v>
      </c>
      <c r="R7" t="s">
        <v>1127</v>
      </c>
      <c r="S7" s="84">
        <v>1000000000000000</v>
      </c>
    </row>
    <row r="8" spans="1:21" ht="12.75" customHeight="1" x14ac:dyDescent="0.25">
      <c r="A8" s="30" t="s">
        <v>298</v>
      </c>
      <c r="B8" s="45">
        <f>((B4+B6)+B7)/3</f>
        <v>718266.66666666663</v>
      </c>
      <c r="C8" s="45">
        <f>((C4+C6)+C7)/3</f>
        <v>79009.333333333328</v>
      </c>
      <c r="D8" s="45">
        <f>((D4+D6)+D7)/3</f>
        <v>2064767.3333333333</v>
      </c>
      <c r="E8" s="45">
        <f>((E4+E6)+E7)/3</f>
        <v>103238.33333333333</v>
      </c>
      <c r="F8" s="45">
        <f>(((F4+F5)+F6)+F7)/3</f>
        <v>993480.66666666663</v>
      </c>
      <c r="G8" s="45">
        <f>((G4+G6)+G7)/3</f>
        <v>90059</v>
      </c>
      <c r="H8" s="30"/>
      <c r="I8" s="30"/>
      <c r="J8" s="21"/>
      <c r="S8" s="84"/>
    </row>
    <row r="9" spans="1:21" ht="12.75" customHeight="1" x14ac:dyDescent="0.25">
      <c r="A9" t="s">
        <v>299</v>
      </c>
      <c r="J9" s="56"/>
      <c r="L9" t="s">
        <v>1128</v>
      </c>
      <c r="O9" s="587">
        <v>1.05506E-6</v>
      </c>
      <c r="R9" t="s">
        <v>1129</v>
      </c>
      <c r="S9">
        <v>1055.056</v>
      </c>
      <c r="T9" t="s">
        <v>1130</v>
      </c>
    </row>
    <row r="10" spans="1:21" ht="12.75" customHeight="1" x14ac:dyDescent="0.25">
      <c r="A10">
        <v>1282050</v>
      </c>
      <c r="B10" t="s">
        <v>7</v>
      </c>
      <c r="J10" s="56"/>
      <c r="L10" t="s">
        <v>1131</v>
      </c>
      <c r="O10">
        <v>1.055056</v>
      </c>
      <c r="S10" s="84"/>
    </row>
    <row r="11" spans="1:21" ht="12.75" customHeight="1" x14ac:dyDescent="0.25">
      <c r="A11" t="s">
        <v>300</v>
      </c>
      <c r="B11">
        <v>10</v>
      </c>
      <c r="J11" s="56"/>
      <c r="K11" s="46"/>
      <c r="L11" s="1"/>
      <c r="M11" s="49"/>
    </row>
    <row r="12" spans="1:21" ht="12.75" customHeight="1" x14ac:dyDescent="0.25">
      <c r="A12" t="s">
        <v>301</v>
      </c>
      <c r="B12">
        <f>B11*A10</f>
        <v>12820500</v>
      </c>
      <c r="D12">
        <f>B12</f>
        <v>12820500</v>
      </c>
      <c r="F12">
        <f>D12</f>
        <v>12820500</v>
      </c>
      <c r="J12" s="56"/>
      <c r="K12" s="46"/>
      <c r="L12" s="1"/>
      <c r="M12" s="49"/>
    </row>
    <row r="13" spans="1:21" ht="12.75" customHeight="1" x14ac:dyDescent="0.25">
      <c r="A13" t="s">
        <v>302</v>
      </c>
      <c r="B13" s="67">
        <f>B8/B12</f>
        <v>5.6024856024856025E-2</v>
      </c>
      <c r="C13" s="67" t="e">
        <f>C8/C12</f>
        <v>#DIV/0!</v>
      </c>
      <c r="D13" s="67">
        <f>D8/D12</f>
        <v>0.16105201305201305</v>
      </c>
      <c r="E13" s="67" t="e">
        <f>E8/E12</f>
        <v>#DIV/0!</v>
      </c>
      <c r="F13" s="67">
        <f>F8/F12</f>
        <v>7.749156949156949E-2</v>
      </c>
      <c r="J13" s="56"/>
      <c r="K13" s="46"/>
      <c r="L13" s="1"/>
      <c r="M13" s="49"/>
    </row>
    <row r="14" spans="1:21" ht="12.75" customHeight="1" x14ac:dyDescent="0.25">
      <c r="A14" t="s">
        <v>303</v>
      </c>
      <c r="D14" s="67">
        <f>D13</f>
        <v>0.16105201305201305</v>
      </c>
      <c r="E14" s="67"/>
      <c r="F14" s="67"/>
      <c r="K14" s="27"/>
      <c r="L14" s="27"/>
    </row>
    <row r="15" spans="1:21" ht="12.75" customHeight="1" x14ac:dyDescent="0.25">
      <c r="A15" t="s">
        <v>304</v>
      </c>
      <c r="D15" s="67"/>
      <c r="E15" s="67"/>
      <c r="F15" s="67">
        <f>B13+F13</f>
        <v>0.13351642551642551</v>
      </c>
    </row>
    <row r="16" spans="1:21" ht="12.75" customHeight="1" x14ac:dyDescent="0.25">
      <c r="A16" s="67">
        <v>0.2</v>
      </c>
      <c r="I16" s="67">
        <f>D14+F15</f>
        <v>0.29456843856843856</v>
      </c>
      <c r="R16">
        <v>70</v>
      </c>
      <c r="S16" t="s">
        <v>1132</v>
      </c>
    </row>
    <row r="17" spans="1:19" ht="12.75" customHeight="1" x14ac:dyDescent="0.25">
      <c r="A17" t="s">
        <v>305</v>
      </c>
      <c r="B17" s="67" t="s">
        <v>7</v>
      </c>
      <c r="I17" s="15">
        <f>(I16*A16)+I16</f>
        <v>0.35348212628212627</v>
      </c>
      <c r="R17">
        <f>R16/T4</f>
        <v>6.9999999999999994E-5</v>
      </c>
      <c r="S17" t="s">
        <v>1133</v>
      </c>
    </row>
    <row r="18" spans="1:19" ht="12.75" customHeight="1" x14ac:dyDescent="0.25">
      <c r="I18" t="s">
        <v>7</v>
      </c>
      <c r="R18">
        <f>R17*T4</f>
        <v>70</v>
      </c>
      <c r="S18" t="s">
        <v>1134</v>
      </c>
    </row>
    <row r="20" spans="1:19" ht="12.75" customHeight="1" x14ac:dyDescent="0.25">
      <c r="A20" t="s">
        <v>306</v>
      </c>
      <c r="B20" s="30" t="s">
        <v>307</v>
      </c>
      <c r="C20" s="30" t="s">
        <v>308</v>
      </c>
      <c r="D20" s="30">
        <v>2013</v>
      </c>
      <c r="I20" t="s">
        <v>309</v>
      </c>
      <c r="J20" t="s">
        <v>310</v>
      </c>
      <c r="K20" t="s">
        <v>311</v>
      </c>
      <c r="L20" t="s">
        <v>312</v>
      </c>
    </row>
    <row r="21" spans="1:19" ht="12.75" customHeight="1" x14ac:dyDescent="0.25">
      <c r="B21" t="s">
        <v>313</v>
      </c>
      <c r="C21">
        <v>500000</v>
      </c>
      <c r="D21" s="84">
        <v>525000</v>
      </c>
      <c r="I21" s="84"/>
      <c r="J21" s="84">
        <f>(D21+D25)+500000</f>
        <v>1060490</v>
      </c>
      <c r="K21" s="84"/>
    </row>
    <row r="22" spans="1:19" ht="12.75" customHeight="1" x14ac:dyDescent="0.25">
      <c r="B22" t="s">
        <v>314</v>
      </c>
      <c r="C22">
        <v>2481000</v>
      </c>
      <c r="D22" s="84">
        <v>2605050</v>
      </c>
      <c r="I22" s="84">
        <f>(D22+D23)+D24</f>
        <v>3534300</v>
      </c>
      <c r="J22" s="84"/>
      <c r="K22" s="84"/>
    </row>
    <row r="23" spans="1:19" ht="12.75" customHeight="1" x14ac:dyDescent="0.25">
      <c r="B23" t="s">
        <v>315</v>
      </c>
      <c r="C23">
        <v>835000</v>
      </c>
      <c r="D23" s="84">
        <v>876750</v>
      </c>
      <c r="I23" s="84"/>
      <c r="J23" s="84"/>
      <c r="K23" s="84"/>
    </row>
    <row r="24" spans="1:19" ht="12.75" customHeight="1" x14ac:dyDescent="0.25">
      <c r="B24" t="s">
        <v>316</v>
      </c>
      <c r="C24">
        <v>50000</v>
      </c>
      <c r="D24" s="84">
        <v>52500</v>
      </c>
      <c r="I24" s="84"/>
      <c r="J24" s="84"/>
      <c r="K24" s="84"/>
    </row>
    <row r="25" spans="1:19" ht="12.75" customHeight="1" x14ac:dyDescent="0.25">
      <c r="B25" t="s">
        <v>317</v>
      </c>
      <c r="C25">
        <v>33800</v>
      </c>
      <c r="D25" s="84">
        <v>35490</v>
      </c>
      <c r="F25" t="s">
        <v>318</v>
      </c>
      <c r="I25" s="84"/>
      <c r="J25" s="84"/>
      <c r="K25" s="84"/>
    </row>
    <row r="26" spans="1:19" ht="12.75" customHeight="1" x14ac:dyDescent="0.25">
      <c r="B26" t="s">
        <v>319</v>
      </c>
      <c r="C26">
        <v>3899800</v>
      </c>
      <c r="D26" s="84">
        <v>4094790</v>
      </c>
      <c r="F26">
        <v>1250000</v>
      </c>
      <c r="I26" s="84"/>
      <c r="J26" s="84"/>
      <c r="K26" s="84"/>
    </row>
    <row r="27" spans="1:19" ht="12.75" customHeight="1" x14ac:dyDescent="0.25">
      <c r="B27" t="s">
        <v>320</v>
      </c>
      <c r="C27">
        <v>0</v>
      </c>
      <c r="D27" s="84">
        <v>0</v>
      </c>
      <c r="F27">
        <v>1000000</v>
      </c>
      <c r="I27" s="84"/>
      <c r="J27" s="84"/>
      <c r="K27" s="84"/>
    </row>
    <row r="28" spans="1:19" ht="12.75" customHeight="1" x14ac:dyDescent="0.25">
      <c r="B28" t="s">
        <v>321</v>
      </c>
      <c r="D28" s="84">
        <v>4094790</v>
      </c>
      <c r="I28" s="84"/>
      <c r="J28" s="84"/>
      <c r="K28" s="84"/>
    </row>
    <row r="29" spans="1:19" ht="12.75" customHeight="1" x14ac:dyDescent="0.25">
      <c r="D29" s="84"/>
      <c r="I29" s="84"/>
      <c r="J29" s="84"/>
      <c r="K29" s="84"/>
    </row>
    <row r="30" spans="1:19" ht="12.75" customHeight="1" x14ac:dyDescent="0.25">
      <c r="A30" s="80" t="s">
        <v>309</v>
      </c>
      <c r="B30" s="80" t="s">
        <v>322</v>
      </c>
      <c r="C30" s="80"/>
      <c r="D30" s="14">
        <f>(I22*F27)/F26</f>
        <v>2827440</v>
      </c>
    </row>
    <row r="31" spans="1:19" ht="12.75" customHeight="1" x14ac:dyDescent="0.25">
      <c r="A31">
        <v>370</v>
      </c>
      <c r="B31" t="s">
        <v>323</v>
      </c>
      <c r="D31" s="84">
        <f>D30*A31</f>
        <v>1046152800</v>
      </c>
    </row>
    <row r="33" spans="1:10" ht="12.75" customHeight="1" x14ac:dyDescent="0.25">
      <c r="A33" s="20" t="s">
        <v>324</v>
      </c>
      <c r="B33" s="20" t="s">
        <v>325</v>
      </c>
      <c r="C33" s="20"/>
      <c r="D33" s="71">
        <f>(J21*F27)/F26</f>
        <v>848392</v>
      </c>
      <c r="E33" s="84"/>
      <c r="F33" s="84"/>
      <c r="G33" s="84"/>
      <c r="H33" s="84"/>
      <c r="I33" s="84"/>
      <c r="J33" s="84"/>
    </row>
    <row r="34" spans="1:10" ht="12.75" customHeight="1" x14ac:dyDescent="0.25">
      <c r="B34" t="s">
        <v>326</v>
      </c>
      <c r="D34" s="84">
        <f>D33*A31</f>
        <v>313905040</v>
      </c>
      <c r="E34" s="84"/>
      <c r="F34" s="84"/>
      <c r="G34" s="84"/>
      <c r="H34" s="84"/>
      <c r="I34" s="84"/>
      <c r="J34" s="84"/>
    </row>
    <row r="35" spans="1:10" ht="12.75" customHeight="1" x14ac:dyDescent="0.25">
      <c r="D35" s="84"/>
      <c r="E35" s="84"/>
      <c r="F35" s="84"/>
      <c r="G35" s="84"/>
      <c r="H35" s="84"/>
      <c r="I35" s="84"/>
      <c r="J35" s="84"/>
    </row>
    <row r="36" spans="1:10" ht="12.75" customHeight="1" x14ac:dyDescent="0.25">
      <c r="A36" s="36" t="s">
        <v>311</v>
      </c>
      <c r="B36" s="36" t="s">
        <v>327</v>
      </c>
      <c r="C36" s="36"/>
      <c r="D36" s="86">
        <v>500000</v>
      </c>
      <c r="E36" s="84"/>
      <c r="F36" s="84"/>
      <c r="G36" s="84"/>
      <c r="H36" s="84"/>
      <c r="I36" s="84"/>
      <c r="J36" s="84"/>
    </row>
    <row r="37" spans="1:10" ht="12.75" customHeight="1" x14ac:dyDescent="0.25">
      <c r="D37" s="84">
        <f>D36*A31</f>
        <v>185000000</v>
      </c>
      <c r="E37" s="84"/>
      <c r="F37" s="84"/>
      <c r="G37" s="84"/>
      <c r="H37" s="84"/>
      <c r="I37" s="84"/>
      <c r="J37" s="84"/>
    </row>
    <row r="38" spans="1:10" ht="12.75" customHeight="1" x14ac:dyDescent="0.25">
      <c r="B38" t="s">
        <v>328</v>
      </c>
      <c r="D38" s="84">
        <f>(D37+D34)+D31</f>
        <v>1545057840</v>
      </c>
      <c r="E38" s="84"/>
      <c r="F38" s="84"/>
      <c r="G38" s="84"/>
      <c r="H38" s="84"/>
      <c r="I38" s="84"/>
      <c r="J38" s="84"/>
    </row>
    <row r="39" spans="1:10" ht="12.75" customHeight="1" x14ac:dyDescent="0.25">
      <c r="B39" t="s">
        <v>312</v>
      </c>
      <c r="D39" s="84"/>
      <c r="E39" s="84"/>
      <c r="F39" s="84"/>
      <c r="G39" s="84"/>
      <c r="H39" s="84"/>
      <c r="I39" s="84"/>
      <c r="J39" s="84"/>
    </row>
    <row r="40" spans="1:10" ht="12.75" customHeight="1" x14ac:dyDescent="0.25">
      <c r="B40" t="s">
        <v>329</v>
      </c>
      <c r="D40" s="84">
        <v>2500</v>
      </c>
      <c r="E40" s="84"/>
      <c r="F40" s="84"/>
      <c r="G40" s="84"/>
      <c r="H40" s="84"/>
      <c r="I40" s="84"/>
      <c r="J40" s="84"/>
    </row>
    <row r="41" spans="1:10" ht="12.75" customHeight="1" x14ac:dyDescent="0.25">
      <c r="B41" t="s">
        <v>330</v>
      </c>
      <c r="D41" s="84">
        <f>J53</f>
        <v>9714</v>
      </c>
      <c r="E41" s="84"/>
      <c r="F41" s="84"/>
      <c r="G41" s="84"/>
      <c r="H41" s="84"/>
      <c r="I41" s="84"/>
      <c r="J41" s="84"/>
    </row>
    <row r="42" spans="1:10" ht="12.75" customHeight="1" x14ac:dyDescent="0.25">
      <c r="D42" s="84">
        <f>D40*D41</f>
        <v>24285000</v>
      </c>
      <c r="E42" s="84"/>
      <c r="F42" s="84"/>
      <c r="G42" s="84"/>
      <c r="H42" s="84"/>
      <c r="I42" s="84"/>
      <c r="J42" s="84"/>
    </row>
    <row r="43" spans="1:10" ht="12.75" customHeight="1" x14ac:dyDescent="0.25">
      <c r="B43" t="s">
        <v>331</v>
      </c>
      <c r="D43" s="84">
        <v>7000</v>
      </c>
      <c r="E43" s="84"/>
      <c r="F43" s="84"/>
      <c r="G43" s="84"/>
      <c r="H43" s="84"/>
      <c r="I43" s="84"/>
      <c r="J43" s="84"/>
    </row>
    <row r="44" spans="1:10" ht="12.75" customHeight="1" x14ac:dyDescent="0.25">
      <c r="D44" s="84">
        <f>K53+L53</f>
        <v>2714</v>
      </c>
      <c r="E44" s="84"/>
      <c r="F44" s="84"/>
      <c r="G44" s="84"/>
      <c r="H44" s="84"/>
      <c r="I44" s="84"/>
      <c r="J44" s="84"/>
    </row>
    <row r="45" spans="1:10" ht="12.75" customHeight="1" x14ac:dyDescent="0.25">
      <c r="D45" s="84">
        <f>D43*D44</f>
        <v>18998000</v>
      </c>
      <c r="E45" s="84"/>
      <c r="F45" s="84"/>
      <c r="G45" s="84"/>
      <c r="H45" s="84"/>
      <c r="I45" s="84"/>
      <c r="J45" s="84"/>
    </row>
    <row r="46" spans="1:10" ht="12.75" customHeight="1" x14ac:dyDescent="0.25">
      <c r="D46" s="84"/>
      <c r="E46" s="84"/>
      <c r="F46" s="84"/>
      <c r="G46" s="84"/>
      <c r="H46" s="84"/>
      <c r="I46" s="84"/>
      <c r="J46" s="84"/>
    </row>
    <row r="47" spans="1:10" ht="12.75" customHeight="1" x14ac:dyDescent="0.25">
      <c r="D47" s="84">
        <f>D42+D45</f>
        <v>43283000</v>
      </c>
      <c r="E47" s="84"/>
      <c r="F47" s="84">
        <f>M51</f>
        <v>117000000</v>
      </c>
      <c r="G47" s="84"/>
      <c r="H47" s="84"/>
      <c r="I47" s="84" t="s">
        <v>7</v>
      </c>
      <c r="J47" s="84"/>
    </row>
    <row r="48" spans="1:10" ht="12.75" customHeight="1" x14ac:dyDescent="0.25">
      <c r="A48" s="54" t="s">
        <v>332</v>
      </c>
      <c r="B48" s="54" t="s">
        <v>333</v>
      </c>
      <c r="C48" s="54"/>
      <c r="D48" s="23">
        <f>(D47/F47)*F48</f>
        <v>369940.17094017094</v>
      </c>
      <c r="E48" s="84"/>
      <c r="F48" s="84">
        <v>1000000</v>
      </c>
      <c r="G48" s="84"/>
      <c r="H48" s="84"/>
      <c r="I48" s="16" t="s">
        <v>7</v>
      </c>
      <c r="J48" s="84"/>
    </row>
    <row r="49" spans="1:14" ht="12.75" customHeight="1" x14ac:dyDescent="0.25">
      <c r="D49" s="84">
        <f>D38+D47</f>
        <v>1588340840</v>
      </c>
      <c r="E49" s="84"/>
      <c r="F49" s="84"/>
      <c r="G49" s="84"/>
      <c r="H49" s="84"/>
      <c r="I49" s="84"/>
      <c r="J49" s="84"/>
    </row>
    <row r="50" spans="1:14" ht="12.75" customHeight="1" x14ac:dyDescent="0.25">
      <c r="D50" s="84"/>
      <c r="E50" s="84"/>
      <c r="F50" s="84"/>
      <c r="G50" s="84"/>
      <c r="H50" s="84"/>
      <c r="J50" t="s">
        <v>334</v>
      </c>
      <c r="K50" t="s">
        <v>335</v>
      </c>
      <c r="L50" t="s">
        <v>336</v>
      </c>
      <c r="M50" t="s">
        <v>282</v>
      </c>
      <c r="N50" t="s">
        <v>337</v>
      </c>
    </row>
    <row r="51" spans="1:14" ht="12.75" customHeight="1" x14ac:dyDescent="0.25">
      <c r="D51" s="84"/>
      <c r="E51" s="84"/>
      <c r="F51" s="84"/>
      <c r="G51" s="84"/>
      <c r="H51" s="84"/>
      <c r="I51" t="s">
        <v>338</v>
      </c>
      <c r="J51" s="84">
        <v>17000000</v>
      </c>
      <c r="K51" s="84">
        <v>60000000</v>
      </c>
      <c r="L51" s="84">
        <v>40000000</v>
      </c>
      <c r="M51" s="84">
        <v>117000000</v>
      </c>
      <c r="N51" s="84">
        <v>7800000</v>
      </c>
    </row>
    <row r="52" spans="1:14" ht="12.75" customHeight="1" x14ac:dyDescent="0.25">
      <c r="I52" t="s">
        <v>339</v>
      </c>
      <c r="J52">
        <v>13</v>
      </c>
      <c r="K52">
        <v>47</v>
      </c>
      <c r="L52">
        <v>32</v>
      </c>
      <c r="M52">
        <v>92</v>
      </c>
      <c r="N52">
        <v>0</v>
      </c>
    </row>
    <row r="53" spans="1:14" ht="12.75" customHeight="1" x14ac:dyDescent="0.25">
      <c r="I53" t="s">
        <v>340</v>
      </c>
      <c r="J53">
        <v>9714</v>
      </c>
      <c r="K53">
        <v>1714</v>
      </c>
      <c r="L53">
        <v>1000</v>
      </c>
      <c r="M53">
        <v>12429</v>
      </c>
      <c r="N53">
        <v>153</v>
      </c>
    </row>
    <row r="54" spans="1:14" ht="12.75" customHeight="1" x14ac:dyDescent="0.25">
      <c r="A54" t="s">
        <v>341</v>
      </c>
      <c r="I54" t="s">
        <v>342</v>
      </c>
      <c r="J54">
        <v>0.02</v>
      </c>
      <c r="K54">
        <v>0.06</v>
      </c>
      <c r="L54">
        <v>0.26</v>
      </c>
    </row>
    <row r="64" spans="1:14" ht="12.75" customHeight="1" x14ac:dyDescent="0.25">
      <c r="D64" t="s">
        <v>343</v>
      </c>
      <c r="F64" t="s">
        <v>344</v>
      </c>
      <c r="J64" t="s">
        <v>105</v>
      </c>
      <c r="K64" t="s">
        <v>345</v>
      </c>
      <c r="L64" t="s">
        <v>346</v>
      </c>
    </row>
    <row r="65" spans="1:12" ht="12.75" customHeight="1" x14ac:dyDescent="0.25">
      <c r="A65" s="43"/>
      <c r="B65" s="43"/>
      <c r="C65" s="43"/>
      <c r="D65" s="18">
        <v>102178240</v>
      </c>
      <c r="E65" s="18"/>
      <c r="F65" s="18">
        <f>B72</f>
        <v>81384.5</v>
      </c>
      <c r="I65" s="18">
        <f>D65/F66</f>
        <v>81384.5</v>
      </c>
      <c r="J65">
        <v>15</v>
      </c>
      <c r="K65">
        <v>83.7</v>
      </c>
      <c r="L65">
        <f>J65*K65</f>
        <v>1255.5</v>
      </c>
    </row>
    <row r="66" spans="1:12" ht="12.75" customHeight="1" x14ac:dyDescent="0.25">
      <c r="A66" s="605" t="s">
        <v>347</v>
      </c>
      <c r="B66" s="51"/>
      <c r="C66" s="79"/>
      <c r="D66" s="18">
        <f>F65*L67</f>
        <v>102178239.75</v>
      </c>
      <c r="E66" s="18"/>
      <c r="F66" s="18">
        <f>D65/F65</f>
        <v>1255.5000030718379</v>
      </c>
      <c r="I66" s="18">
        <f>D66/L67</f>
        <v>81384.5</v>
      </c>
      <c r="K66">
        <f>F66/J65</f>
        <v>83.700000204789191</v>
      </c>
    </row>
    <row r="67" spans="1:12" ht="12.75" customHeight="1" x14ac:dyDescent="0.25">
      <c r="A67" s="51" t="s">
        <v>356</v>
      </c>
      <c r="B67" s="52">
        <v>1078330</v>
      </c>
      <c r="C67" s="49"/>
      <c r="J67">
        <v>10</v>
      </c>
      <c r="K67">
        <v>125.55</v>
      </c>
      <c r="L67">
        <f>J67*K67</f>
        <v>1255.5</v>
      </c>
    </row>
    <row r="68" spans="1:12" ht="12.75" customHeight="1" x14ac:dyDescent="0.25">
      <c r="A68" s="51" t="s">
        <v>348</v>
      </c>
      <c r="B68" s="52">
        <v>915561</v>
      </c>
      <c r="C68" s="49"/>
      <c r="J68" s="74" t="s">
        <v>349</v>
      </c>
      <c r="K68" s="74"/>
      <c r="L68" s="74"/>
    </row>
    <row r="69" spans="1:12" ht="12.75" customHeight="1" x14ac:dyDescent="0.25">
      <c r="A69" s="51" t="s">
        <v>350</v>
      </c>
      <c r="B69" s="52">
        <v>162769</v>
      </c>
      <c r="C69" s="49"/>
      <c r="J69" s="74">
        <v>9</v>
      </c>
      <c r="K69" s="74">
        <f>119*0.6</f>
        <v>71.399999999999991</v>
      </c>
      <c r="L69" s="74">
        <f>(J69*K69)*0.9</f>
        <v>578.33999999999992</v>
      </c>
    </row>
    <row r="70" spans="1:12" ht="12.75" customHeight="1" x14ac:dyDescent="0.25">
      <c r="A70" s="51" t="s">
        <v>351</v>
      </c>
      <c r="B70" s="52">
        <v>32553.8</v>
      </c>
      <c r="C70" s="49"/>
    </row>
    <row r="71" spans="1:12" ht="12.75" customHeight="1" x14ac:dyDescent="0.25">
      <c r="A71" s="775" t="s">
        <v>1167</v>
      </c>
      <c r="B71" s="781">
        <f>B69*A92</f>
        <v>48830.7</v>
      </c>
      <c r="C71" s="66">
        <f>B71+B76</f>
        <v>106430.7</v>
      </c>
    </row>
    <row r="72" spans="1:12" ht="12.75" customHeight="1" x14ac:dyDescent="0.25">
      <c r="A72" s="600" t="s">
        <v>352</v>
      </c>
      <c r="B72" s="601">
        <v>81384.5</v>
      </c>
      <c r="C72" s="49">
        <v>105000</v>
      </c>
      <c r="D72" s="84">
        <f>B72+B77</f>
        <v>177384.5</v>
      </c>
    </row>
    <row r="73" spans="1:12" ht="22.05" customHeight="1" x14ac:dyDescent="0.25">
      <c r="A73" s="51" t="s">
        <v>353</v>
      </c>
      <c r="B73" s="52">
        <v>246330</v>
      </c>
      <c r="C73" s="49"/>
      <c r="E73" s="84">
        <f>B70+B75</f>
        <v>70953.8</v>
      </c>
      <c r="F73">
        <f>E73*E90*G91*I85*L85</f>
        <v>89082495.899999991</v>
      </c>
    </row>
    <row r="74" spans="1:12" ht="12.75" customHeight="1" x14ac:dyDescent="0.25">
      <c r="A74" s="51" t="s">
        <v>354</v>
      </c>
      <c r="B74" s="52">
        <v>192000</v>
      </c>
      <c r="C74" s="49"/>
      <c r="D74" s="65"/>
    </row>
    <row r="75" spans="1:12" ht="12.75" customHeight="1" x14ac:dyDescent="0.25">
      <c r="A75" s="51" t="s">
        <v>1147</v>
      </c>
      <c r="B75" s="52">
        <v>38400</v>
      </c>
      <c r="C75" s="49">
        <f>B74*0.2</f>
        <v>38400</v>
      </c>
    </row>
    <row r="76" spans="1:12" ht="12.75" customHeight="1" x14ac:dyDescent="0.25">
      <c r="A76" s="775" t="s">
        <v>1169</v>
      </c>
      <c r="B76" s="781">
        <f>B74*A95</f>
        <v>57600</v>
      </c>
      <c r="C76" s="603"/>
    </row>
    <row r="77" spans="1:12" ht="12.75" customHeight="1" x14ac:dyDescent="0.25">
      <c r="A77" s="598" t="s">
        <v>1168</v>
      </c>
      <c r="B77" s="599">
        <v>96000</v>
      </c>
      <c r="C77" s="49">
        <f>B74*0.5</f>
        <v>96000</v>
      </c>
      <c r="D77" s="84">
        <v>120528000</v>
      </c>
    </row>
    <row r="78" spans="1:12" ht="12.75" customHeight="1" x14ac:dyDescent="0.25">
      <c r="A78" s="604" t="s">
        <v>282</v>
      </c>
      <c r="B78" s="602">
        <f>B72+B77</f>
        <v>177384.5</v>
      </c>
      <c r="C78" s="603"/>
      <c r="D78" s="84"/>
    </row>
    <row r="79" spans="1:12" ht="12.75" customHeight="1" x14ac:dyDescent="0.25">
      <c r="A79" s="51" t="s">
        <v>355</v>
      </c>
      <c r="B79" s="52"/>
      <c r="C79" s="49"/>
    </row>
    <row r="80" spans="1:12" ht="12.75" customHeight="1" x14ac:dyDescent="0.25">
      <c r="A80" s="51" t="s">
        <v>356</v>
      </c>
      <c r="B80" s="52">
        <v>1078330</v>
      </c>
      <c r="C80" s="49"/>
    </row>
    <row r="81" spans="1:16" ht="12.75" customHeight="1" x14ac:dyDescent="0.25">
      <c r="A81" s="51" t="s">
        <v>357</v>
      </c>
      <c r="B81" s="52">
        <v>53916.5</v>
      </c>
      <c r="C81" s="49">
        <f>B74*A92</f>
        <v>57600</v>
      </c>
      <c r="D81" s="84">
        <v>67692166</v>
      </c>
    </row>
    <row r="82" spans="1:16" ht="12.75" customHeight="1" x14ac:dyDescent="0.25">
      <c r="A82" s="51" t="s">
        <v>358</v>
      </c>
      <c r="B82" s="52"/>
      <c r="C82" s="49"/>
      <c r="L82">
        <f>L87/K87</f>
        <v>0.6</v>
      </c>
    </row>
    <row r="83" spans="1:16" ht="12.75" customHeight="1" x14ac:dyDescent="0.25">
      <c r="A83" s="51" t="s">
        <v>359</v>
      </c>
      <c r="B83" s="51"/>
      <c r="C83" s="29"/>
      <c r="D83" s="80"/>
      <c r="E83" s="80"/>
      <c r="F83" s="80"/>
      <c r="G83" s="80"/>
      <c r="H83" s="80"/>
      <c r="I83" s="80"/>
      <c r="J83" s="80"/>
      <c r="K83" s="80"/>
      <c r="L83" s="80"/>
      <c r="M83" s="80">
        <v>8760</v>
      </c>
      <c r="N83" s="80"/>
    </row>
    <row r="84" spans="1:16" ht="12.75" customHeight="1" x14ac:dyDescent="0.25">
      <c r="A84" s="34"/>
      <c r="B84" s="34"/>
      <c r="C84" s="34"/>
      <c r="D84" s="14">
        <f>D77+D65</f>
        <v>222706240</v>
      </c>
      <c r="E84" s="80"/>
      <c r="F84" s="80"/>
      <c r="G84" s="80"/>
      <c r="H84" s="80"/>
      <c r="I84" s="80"/>
      <c r="J84" s="80"/>
      <c r="K84" s="80"/>
      <c r="L84" s="80"/>
      <c r="M84" s="80">
        <v>8200</v>
      </c>
      <c r="N84" s="80"/>
      <c r="O84">
        <f>15000*9*119*0.6*0.9</f>
        <v>8675100</v>
      </c>
    </row>
    <row r="85" spans="1:16" ht="12.75" customHeight="1" x14ac:dyDescent="0.25">
      <c r="A85" s="33"/>
      <c r="B85" s="64"/>
      <c r="C85" s="33"/>
      <c r="D85" s="33"/>
      <c r="E85" s="33"/>
      <c r="F85" s="33"/>
      <c r="G85" s="33"/>
      <c r="H85" s="33"/>
      <c r="I85" s="33">
        <v>0.9</v>
      </c>
      <c r="J85" s="33">
        <v>0.15</v>
      </c>
      <c r="K85" s="33"/>
      <c r="L85" s="33">
        <v>0.6</v>
      </c>
      <c r="M85" s="33">
        <v>0.38</v>
      </c>
      <c r="N85" s="33"/>
      <c r="O85" t="s">
        <v>995</v>
      </c>
      <c r="P85" t="s">
        <v>1170</v>
      </c>
    </row>
    <row r="86" spans="1:16" ht="12.75" customHeight="1" x14ac:dyDescent="0.25">
      <c r="A86" s="51"/>
      <c r="B86" s="35" t="s">
        <v>360</v>
      </c>
      <c r="C86" s="35" t="s">
        <v>361</v>
      </c>
      <c r="D86" s="35" t="s">
        <v>63</v>
      </c>
      <c r="E86" s="35" t="s">
        <v>362</v>
      </c>
      <c r="F86" s="35" t="s">
        <v>363</v>
      </c>
      <c r="G86" s="35" t="s">
        <v>364</v>
      </c>
      <c r="H86" s="35" t="s">
        <v>365</v>
      </c>
      <c r="I86" s="35" t="s">
        <v>366</v>
      </c>
      <c r="J86" s="35" t="s">
        <v>367</v>
      </c>
      <c r="K86" s="35" t="s">
        <v>368</v>
      </c>
      <c r="L86" s="35" t="s">
        <v>142</v>
      </c>
      <c r="M86" s="35" t="s">
        <v>369</v>
      </c>
      <c r="N86" s="35" t="s">
        <v>370</v>
      </c>
      <c r="O86" s="49"/>
      <c r="P86" t="s">
        <v>1171</v>
      </c>
    </row>
    <row r="87" spans="1:16" s="789" customFormat="1" ht="12.75" customHeight="1" x14ac:dyDescent="0.25">
      <c r="A87" s="790" t="s">
        <v>371</v>
      </c>
      <c r="B87" s="786">
        <v>2020</v>
      </c>
      <c r="C87" s="787">
        <v>100000</v>
      </c>
      <c r="D87" s="789">
        <f>C87*J87</f>
        <v>15000</v>
      </c>
      <c r="E87" s="787">
        <v>9</v>
      </c>
      <c r="F87" s="787">
        <f t="shared" ref="F87:F97" si="0">C87*E87</f>
        <v>900000</v>
      </c>
      <c r="G87" s="787">
        <v>119</v>
      </c>
      <c r="H87" s="787">
        <f>F87*G87</f>
        <v>107100000</v>
      </c>
      <c r="I87" s="787">
        <f t="shared" ref="I87:I97" si="1">H87*$I$85</f>
        <v>96390000</v>
      </c>
      <c r="J87" s="788">
        <v>0.15</v>
      </c>
      <c r="K87" s="787">
        <f>I87*J87</f>
        <v>14458500</v>
      </c>
      <c r="L87" s="787">
        <f t="shared" ref="L87:L97" si="2">K87*$L$85</f>
        <v>8675100</v>
      </c>
      <c r="M87" s="787">
        <f>((((K87/1000000)*6)*$M$85)*$M$84)/$M$83</f>
        <v>30.858004109589046</v>
      </c>
      <c r="N87" s="787">
        <f>(M87/$M$85)*1000</f>
        <v>81205.27397260275</v>
      </c>
      <c r="O87" s="791">
        <f>15000*9*119*0.6*0.9</f>
        <v>8675100</v>
      </c>
      <c r="P87" s="787" t="s">
        <v>800</v>
      </c>
    </row>
    <row r="88" spans="1:16" s="777" customFormat="1" ht="12.75" customHeight="1" x14ac:dyDescent="0.25">
      <c r="A88" s="782"/>
      <c r="B88" s="782">
        <v>2030</v>
      </c>
      <c r="C88" s="776">
        <v>100000</v>
      </c>
      <c r="D88" s="783">
        <f>C88*J88</f>
        <v>20000</v>
      </c>
      <c r="E88" s="776">
        <v>9</v>
      </c>
      <c r="F88" s="776">
        <f t="shared" si="0"/>
        <v>900000</v>
      </c>
      <c r="G88" s="776">
        <v>119</v>
      </c>
      <c r="H88" s="776">
        <f>F88*G88</f>
        <v>107100000</v>
      </c>
      <c r="I88" s="776">
        <f t="shared" si="1"/>
        <v>96390000</v>
      </c>
      <c r="J88" s="784">
        <v>0.2</v>
      </c>
      <c r="K88" s="776">
        <f>I88*J88</f>
        <v>19278000</v>
      </c>
      <c r="L88" s="776">
        <f t="shared" si="2"/>
        <v>11566800</v>
      </c>
      <c r="M88" s="783"/>
      <c r="N88" s="783"/>
      <c r="O88" s="785"/>
      <c r="P88" s="777">
        <f>20000*9*119*0.6*0.9</f>
        <v>11566800</v>
      </c>
    </row>
    <row r="89" spans="1:16" ht="12.75" customHeight="1" x14ac:dyDescent="0.25">
      <c r="A89" s="55"/>
      <c r="B89" s="51">
        <v>2050</v>
      </c>
      <c r="C89" s="772">
        <v>100000</v>
      </c>
      <c r="D89" s="772">
        <f>C89*J89</f>
        <v>25000</v>
      </c>
      <c r="E89" s="772">
        <v>9</v>
      </c>
      <c r="F89" s="772">
        <f t="shared" si="0"/>
        <v>900000</v>
      </c>
      <c r="G89" s="772">
        <v>119</v>
      </c>
      <c r="H89" s="772">
        <f>F89*G89</f>
        <v>107100000</v>
      </c>
      <c r="I89" s="772">
        <f t="shared" si="1"/>
        <v>96390000</v>
      </c>
      <c r="J89" s="773">
        <v>0.25</v>
      </c>
      <c r="K89" s="772">
        <f>I89*J89</f>
        <v>24097500</v>
      </c>
      <c r="L89" s="772">
        <f t="shared" si="2"/>
        <v>14458500</v>
      </c>
      <c r="M89" s="772">
        <f t="shared" ref="M89:M97" si="3">((((K89/1000000)*6)*$M$85)*$M$84)/$M$83</f>
        <v>51.43000684931507</v>
      </c>
      <c r="N89" s="772">
        <f t="shared" ref="N89:N97" si="4">(M89/$M$85)*1000</f>
        <v>135342.12328767122</v>
      </c>
      <c r="O89" s="794"/>
    </row>
    <row r="90" spans="1:16" s="789" customFormat="1" ht="12.75" customHeight="1" x14ac:dyDescent="0.25">
      <c r="A90" s="786" t="s">
        <v>372</v>
      </c>
      <c r="B90" s="786">
        <v>2020</v>
      </c>
      <c r="C90" s="787">
        <f>B70</f>
        <v>32553.8</v>
      </c>
      <c r="D90" s="787"/>
      <c r="E90" s="787">
        <v>15</v>
      </c>
      <c r="F90" s="787">
        <f t="shared" si="0"/>
        <v>488307</v>
      </c>
      <c r="G90" s="787">
        <v>155</v>
      </c>
      <c r="H90" s="787">
        <f>F90*G90</f>
        <v>75687585</v>
      </c>
      <c r="I90" s="787">
        <f t="shared" si="1"/>
        <v>68118826.5</v>
      </c>
      <c r="J90" s="788">
        <v>1</v>
      </c>
      <c r="K90" s="787">
        <f>I90*J90</f>
        <v>68118826.5</v>
      </c>
      <c r="L90" s="787">
        <f t="shared" si="2"/>
        <v>40871295.899999999</v>
      </c>
      <c r="M90" s="787">
        <f t="shared" si="3"/>
        <v>145.38237217397258</v>
      </c>
      <c r="N90" s="787">
        <f t="shared" si="4"/>
        <v>382585.18993150681</v>
      </c>
      <c r="O90" s="795">
        <f>32554*15*155*0.6*0.9</f>
        <v>40871547</v>
      </c>
    </row>
    <row r="91" spans="1:16" ht="12.75" customHeight="1" x14ac:dyDescent="0.25">
      <c r="A91" s="51"/>
      <c r="B91" s="51">
        <v>2050</v>
      </c>
      <c r="C91" s="772">
        <f>B72</f>
        <v>81384.5</v>
      </c>
      <c r="D91" s="772"/>
      <c r="E91" s="772">
        <v>15</v>
      </c>
      <c r="F91" s="772">
        <f t="shared" si="0"/>
        <v>1220767.5</v>
      </c>
      <c r="G91" s="772">
        <v>155</v>
      </c>
      <c r="H91" s="772">
        <f>F91*G91</f>
        <v>189218962.5</v>
      </c>
      <c r="I91" s="772">
        <f t="shared" si="1"/>
        <v>170297066.25</v>
      </c>
      <c r="J91" s="773">
        <v>1</v>
      </c>
      <c r="K91" s="772">
        <f>I91*J91</f>
        <v>170297066.25</v>
      </c>
      <c r="L91" s="772">
        <f t="shared" si="2"/>
        <v>102178239.75</v>
      </c>
      <c r="M91" s="772">
        <f t="shared" si="3"/>
        <v>363.45593043493147</v>
      </c>
      <c r="N91" s="772">
        <f t="shared" si="4"/>
        <v>956462.97482876712</v>
      </c>
      <c r="O91" s="794"/>
    </row>
    <row r="92" spans="1:16" s="777" customFormat="1" ht="12.75" customHeight="1" x14ac:dyDescent="0.25">
      <c r="A92" s="774">
        <v>0.3</v>
      </c>
      <c r="B92" s="775">
        <v>2030</v>
      </c>
      <c r="C92" s="776">
        <f>A92*B69</f>
        <v>48830.7</v>
      </c>
      <c r="D92" s="776"/>
      <c r="E92" s="776">
        <v>15</v>
      </c>
      <c r="F92" s="776">
        <f t="shared" si="0"/>
        <v>732460.5</v>
      </c>
      <c r="G92" s="776">
        <v>155</v>
      </c>
      <c r="H92" s="776">
        <f t="shared" ref="H92:H95" si="5">F92*G92</f>
        <v>113531377.5</v>
      </c>
      <c r="I92" s="776">
        <f t="shared" si="1"/>
        <v>102178239.75</v>
      </c>
      <c r="J92" s="774">
        <v>1</v>
      </c>
      <c r="K92" s="776">
        <f t="shared" ref="K92:K95" si="6">I92*J92</f>
        <v>102178239.75</v>
      </c>
      <c r="L92" s="776">
        <f t="shared" si="2"/>
        <v>61306943.849999994</v>
      </c>
      <c r="M92" s="776">
        <f t="shared" si="3"/>
        <v>218.07355826095892</v>
      </c>
      <c r="N92" s="776">
        <f t="shared" si="4"/>
        <v>573877.78489726037</v>
      </c>
      <c r="O92" s="796" t="s">
        <v>800</v>
      </c>
      <c r="P92" s="796">
        <f>48831*15*155*0.6*0.9</f>
        <v>61307320.5</v>
      </c>
    </row>
    <row r="93" spans="1:16" s="789" customFormat="1" ht="12.75" customHeight="1" x14ac:dyDescent="0.25">
      <c r="A93" s="788" t="s">
        <v>373</v>
      </c>
      <c r="B93" s="786">
        <v>2020</v>
      </c>
      <c r="C93" s="787">
        <f>B75</f>
        <v>38400</v>
      </c>
      <c r="D93" s="787"/>
      <c r="E93" s="787">
        <v>15</v>
      </c>
      <c r="F93" s="787">
        <f t="shared" si="0"/>
        <v>576000</v>
      </c>
      <c r="G93" s="787">
        <v>155</v>
      </c>
      <c r="H93" s="787">
        <f t="shared" si="5"/>
        <v>89280000</v>
      </c>
      <c r="I93" s="787">
        <f t="shared" si="1"/>
        <v>80352000</v>
      </c>
      <c r="J93" s="788">
        <v>1</v>
      </c>
      <c r="K93" s="787">
        <f t="shared" si="6"/>
        <v>80352000</v>
      </c>
      <c r="L93" s="787">
        <f t="shared" si="2"/>
        <v>48211200</v>
      </c>
      <c r="M93" s="787">
        <f t="shared" si="3"/>
        <v>171.49098082191782</v>
      </c>
      <c r="N93" s="787">
        <f t="shared" si="4"/>
        <v>451292.05479452055</v>
      </c>
      <c r="O93" s="795">
        <f>38400*15*155*0.6*0.9</f>
        <v>48211200</v>
      </c>
    </row>
    <row r="94" spans="1:16" ht="12.75" customHeight="1" x14ac:dyDescent="0.25">
      <c r="B94" s="51">
        <v>2050</v>
      </c>
      <c r="C94" s="772">
        <f>B77</f>
        <v>96000</v>
      </c>
      <c r="D94" s="772"/>
      <c r="E94" s="772">
        <v>15</v>
      </c>
      <c r="F94" s="772">
        <f t="shared" si="0"/>
        <v>1440000</v>
      </c>
      <c r="G94" s="772">
        <v>155</v>
      </c>
      <c r="H94" s="772">
        <f t="shared" si="5"/>
        <v>223200000</v>
      </c>
      <c r="I94" s="772">
        <f t="shared" si="1"/>
        <v>200880000</v>
      </c>
      <c r="J94" s="773">
        <v>1</v>
      </c>
      <c r="K94" s="772">
        <f t="shared" si="6"/>
        <v>200880000</v>
      </c>
      <c r="L94" s="772">
        <f t="shared" si="2"/>
        <v>120528000</v>
      </c>
      <c r="M94" s="772">
        <f t="shared" si="3"/>
        <v>428.72745205479453</v>
      </c>
      <c r="N94" s="772">
        <f t="shared" si="4"/>
        <v>1128230.1369863015</v>
      </c>
      <c r="O94" s="794"/>
    </row>
    <row r="95" spans="1:16" s="777" customFormat="1" ht="12.75" customHeight="1" x14ac:dyDescent="0.25">
      <c r="A95" s="774">
        <v>0.3</v>
      </c>
      <c r="B95" s="775">
        <v>2030</v>
      </c>
      <c r="C95" s="776">
        <f>A95*B74</f>
        <v>57600</v>
      </c>
      <c r="D95" s="776"/>
      <c r="E95" s="776">
        <v>15</v>
      </c>
      <c r="F95" s="776">
        <f t="shared" si="0"/>
        <v>864000</v>
      </c>
      <c r="G95" s="776">
        <v>155</v>
      </c>
      <c r="H95" s="776">
        <f t="shared" si="5"/>
        <v>133920000</v>
      </c>
      <c r="I95" s="776">
        <f t="shared" si="1"/>
        <v>120528000</v>
      </c>
      <c r="J95" s="774">
        <v>1</v>
      </c>
      <c r="K95" s="776">
        <f t="shared" si="6"/>
        <v>120528000</v>
      </c>
      <c r="L95" s="776">
        <f t="shared" si="2"/>
        <v>72316800</v>
      </c>
      <c r="M95" s="776">
        <f t="shared" si="3"/>
        <v>257.23647123287668</v>
      </c>
      <c r="N95" s="776">
        <f t="shared" si="4"/>
        <v>676938.08219178068</v>
      </c>
      <c r="O95" s="796"/>
      <c r="P95" s="777">
        <f>57600*15*155*0.6*0.9</f>
        <v>72316800</v>
      </c>
    </row>
    <row r="96" spans="1:16" s="789" customFormat="1" ht="12.75" customHeight="1" x14ac:dyDescent="0.25">
      <c r="A96" s="786" t="s">
        <v>374</v>
      </c>
      <c r="B96" s="786">
        <v>2020</v>
      </c>
      <c r="C96" s="787">
        <f>B81</f>
        <v>53916.5</v>
      </c>
      <c r="D96" s="787"/>
      <c r="E96" s="787">
        <v>15</v>
      </c>
      <c r="F96" s="787">
        <f t="shared" si="0"/>
        <v>808747.5</v>
      </c>
      <c r="G96" s="787">
        <v>155</v>
      </c>
      <c r="H96" s="787">
        <f>F96*G96</f>
        <v>125355862.5</v>
      </c>
      <c r="I96" s="787">
        <f t="shared" si="1"/>
        <v>112820276.25</v>
      </c>
      <c r="J96" s="788">
        <v>1</v>
      </c>
      <c r="K96" s="787">
        <f>I96*J96</f>
        <v>112820276.25</v>
      </c>
      <c r="L96" s="787">
        <f t="shared" si="2"/>
        <v>67692165.75</v>
      </c>
      <c r="M96" s="787">
        <f t="shared" si="3"/>
        <v>240.78628821575342</v>
      </c>
      <c r="N96" s="787">
        <f t="shared" si="4"/>
        <v>633648.12688356161</v>
      </c>
    </row>
    <row r="97" spans="1:17" ht="12.75" customHeight="1" x14ac:dyDescent="0.25">
      <c r="A97" s="51"/>
      <c r="B97" s="51">
        <v>2050</v>
      </c>
      <c r="C97" s="772">
        <f>B81</f>
        <v>53916.5</v>
      </c>
      <c r="D97" s="772"/>
      <c r="E97" s="772">
        <v>15</v>
      </c>
      <c r="F97" s="772">
        <f t="shared" si="0"/>
        <v>808747.5</v>
      </c>
      <c r="G97" s="772">
        <v>155</v>
      </c>
      <c r="H97" s="772">
        <f>F97*G97</f>
        <v>125355862.5</v>
      </c>
      <c r="I97" s="772">
        <f t="shared" si="1"/>
        <v>112820276.25</v>
      </c>
      <c r="J97" s="773">
        <v>1</v>
      </c>
      <c r="K97" s="772">
        <f>I97*J97</f>
        <v>112820276.25</v>
      </c>
      <c r="L97" s="772">
        <f t="shared" si="2"/>
        <v>67692165.75</v>
      </c>
      <c r="M97" s="772">
        <f t="shared" si="3"/>
        <v>240.78628821575342</v>
      </c>
      <c r="N97" s="772">
        <f t="shared" si="4"/>
        <v>633648.12688356161</v>
      </c>
      <c r="O97" s="794">
        <f>SUM(O87:O96)</f>
        <v>97757847</v>
      </c>
    </row>
    <row r="98" spans="1:17" s="777" customFormat="1" ht="12.75" customHeight="1" x14ac:dyDescent="0.25">
      <c r="A98" s="775"/>
      <c r="B98" s="775">
        <v>2030</v>
      </c>
      <c r="C98" s="775"/>
      <c r="D98" s="775"/>
      <c r="E98" s="775"/>
      <c r="F98" s="775"/>
      <c r="G98" s="775"/>
      <c r="H98" s="775"/>
      <c r="I98" s="775"/>
      <c r="J98" s="775"/>
      <c r="K98" s="775"/>
      <c r="L98" s="779">
        <f>L92+L95</f>
        <v>133623743.84999999</v>
      </c>
      <c r="M98" s="775"/>
      <c r="N98" s="775"/>
      <c r="O98" s="796"/>
      <c r="P98" s="795">
        <f>53917*15*155*0.6*0.9</f>
        <v>67692793.5</v>
      </c>
    </row>
    <row r="99" spans="1:17" s="789" customFormat="1" ht="12.75" customHeight="1" x14ac:dyDescent="0.25">
      <c r="A99" s="786" t="s">
        <v>375</v>
      </c>
      <c r="B99" s="786">
        <v>2020</v>
      </c>
      <c r="C99" s="786">
        <f>C90+C93</f>
        <v>70953.8</v>
      </c>
      <c r="D99" s="786"/>
      <c r="E99" s="792"/>
      <c r="F99" s="793"/>
      <c r="G99" s="793"/>
      <c r="H99" s="793"/>
      <c r="I99" s="793"/>
      <c r="J99" s="793"/>
      <c r="K99" s="793"/>
      <c r="L99" s="787">
        <f>L90+L93</f>
        <v>89082495.900000006</v>
      </c>
      <c r="M99" s="793"/>
      <c r="N99" s="793"/>
      <c r="P99" s="789" t="s">
        <v>800</v>
      </c>
    </row>
    <row r="100" spans="1:17" ht="12.75" customHeight="1" x14ac:dyDescent="0.25">
      <c r="A100" s="51"/>
      <c r="B100" s="51">
        <v>2050</v>
      </c>
      <c r="C100" s="51">
        <f>C91+C94</f>
        <v>177384.5</v>
      </c>
      <c r="D100" s="51"/>
      <c r="E100" s="39"/>
      <c r="F100" s="80"/>
      <c r="G100" s="80"/>
      <c r="H100" s="80"/>
      <c r="I100" s="80"/>
      <c r="J100" s="80"/>
      <c r="K100" s="80"/>
      <c r="L100" s="772">
        <f>L91+L94</f>
        <v>222706239.75</v>
      </c>
      <c r="M100" s="80"/>
      <c r="N100" s="80" t="s">
        <v>1172</v>
      </c>
      <c r="O100" s="797">
        <f>(O87+O90+O93)/1000000</f>
        <v>97.757846999999998</v>
      </c>
      <c r="P100" s="84">
        <f>SUM(P87:P98)/1000000</f>
        <v>212.883714</v>
      </c>
    </row>
    <row r="101" spans="1:17" ht="12.75" customHeight="1" x14ac:dyDescent="0.25">
      <c r="A101" s="27" t="s">
        <v>376</v>
      </c>
      <c r="B101" s="27">
        <v>2030</v>
      </c>
      <c r="C101" s="778">
        <f>C92+C95</f>
        <v>106430.7</v>
      </c>
      <c r="D101" s="27"/>
      <c r="N101" t="s">
        <v>1173</v>
      </c>
      <c r="O101" s="16">
        <f>Biomet_vähes!H3-(abitabelid!O100)</f>
        <v>41.370553123646886</v>
      </c>
      <c r="P101" s="84">
        <f>Biomet_max!H3-abitabelid!P100</f>
        <v>50.116286000000002</v>
      </c>
    </row>
    <row r="102" spans="1:17" ht="12.75" customHeight="1" x14ac:dyDescent="0.25">
      <c r="N102" t="s">
        <v>1174</v>
      </c>
      <c r="O102" s="16">
        <f>SUM(O100:O101)</f>
        <v>139.12840012364688</v>
      </c>
      <c r="P102" s="84">
        <f>SUM(P100:P101)</f>
        <v>263</v>
      </c>
    </row>
    <row r="103" spans="1:17" ht="42" customHeight="1" x14ac:dyDescent="0.4">
      <c r="A103" s="961" t="s">
        <v>377</v>
      </c>
      <c r="B103" s="961"/>
      <c r="C103" s="961"/>
      <c r="D103" s="961"/>
      <c r="Q103" s="84">
        <f>P88+P92+P95</f>
        <v>145190920.5</v>
      </c>
    </row>
    <row r="104" spans="1:17" ht="12.75" customHeight="1" x14ac:dyDescent="0.25">
      <c r="B104" t="s">
        <v>63</v>
      </c>
      <c r="D104" t="s">
        <v>378</v>
      </c>
    </row>
    <row r="106" spans="1:17" ht="12.75" customHeight="1" x14ac:dyDescent="0.25">
      <c r="A106" t="s">
        <v>379</v>
      </c>
    </row>
    <row r="107" spans="1:17" ht="12.75" customHeight="1" x14ac:dyDescent="0.25">
      <c r="A107" t="s">
        <v>380</v>
      </c>
      <c r="B107">
        <v>500</v>
      </c>
    </row>
    <row r="108" spans="1:17" ht="12.75" customHeight="1" x14ac:dyDescent="0.25">
      <c r="A108" t="s">
        <v>381</v>
      </c>
      <c r="B108">
        <v>200</v>
      </c>
    </row>
    <row r="109" spans="1:17" ht="12.75" customHeight="1" x14ac:dyDescent="0.25">
      <c r="A109" s="30" t="s">
        <v>298</v>
      </c>
      <c r="B109" s="30">
        <f>(B107+B108)/2</f>
        <v>350</v>
      </c>
    </row>
    <row r="111" spans="1:17" ht="12.75" customHeight="1" x14ac:dyDescent="0.25">
      <c r="A111" t="s">
        <v>382</v>
      </c>
    </row>
    <row r="112" spans="1:17" ht="12.75" customHeight="1" x14ac:dyDescent="0.25">
      <c r="A112" t="s">
        <v>383</v>
      </c>
      <c r="B112">
        <v>350</v>
      </c>
    </row>
    <row r="113" spans="1:2" ht="12.75" customHeight="1" x14ac:dyDescent="0.25">
      <c r="A113" t="s">
        <v>381</v>
      </c>
      <c r="B113">
        <f>-3900+200</f>
        <v>-3700</v>
      </c>
    </row>
    <row r="114" spans="1:2" ht="12.75" customHeight="1" x14ac:dyDescent="0.25">
      <c r="A114" t="s">
        <v>384</v>
      </c>
      <c r="B114">
        <f>B113+B112</f>
        <v>-3350</v>
      </c>
    </row>
    <row r="115" spans="1:2" ht="12.75" customHeight="1" x14ac:dyDescent="0.25">
      <c r="A115" t="s">
        <v>385</v>
      </c>
      <c r="B115">
        <f>(B112+B113)/2</f>
        <v>-1675</v>
      </c>
    </row>
    <row r="117" spans="1:2" ht="12.75" customHeight="1" x14ac:dyDescent="0.25">
      <c r="A117" t="s">
        <v>386</v>
      </c>
    </row>
    <row r="118" spans="1:2" ht="12.75" customHeight="1" x14ac:dyDescent="0.25">
      <c r="A118" t="s">
        <v>387</v>
      </c>
      <c r="B118">
        <v>500</v>
      </c>
    </row>
    <row r="119" spans="1:2" ht="12.75" customHeight="1" x14ac:dyDescent="0.25">
      <c r="A119" t="s">
        <v>388</v>
      </c>
      <c r="B119">
        <f>200-100</f>
        <v>100</v>
      </c>
    </row>
    <row r="120" spans="1:2" ht="12.75" customHeight="1" x14ac:dyDescent="0.25">
      <c r="A120" t="s">
        <v>298</v>
      </c>
      <c r="B120">
        <f>(B118+B119)/2</f>
        <v>300</v>
      </c>
    </row>
    <row r="122" spans="1:2" ht="12.75" customHeight="1" x14ac:dyDescent="0.25">
      <c r="A122" t="s">
        <v>389</v>
      </c>
      <c r="B122" s="84">
        <f>((B120+B115)+B109)/3</f>
        <v>-341.66666666666669</v>
      </c>
    </row>
    <row r="123" spans="1:2" ht="12.75" customHeight="1" x14ac:dyDescent="0.25">
      <c r="A123" t="s">
        <v>390</v>
      </c>
      <c r="B123">
        <f>((B120+B114)+B109)/3</f>
        <v>-900</v>
      </c>
    </row>
    <row r="127" spans="1:2" ht="12.75" customHeight="1" x14ac:dyDescent="0.25">
      <c r="A127" t="s">
        <v>391</v>
      </c>
    </row>
    <row r="128" spans="1:2" ht="12.75" customHeight="1" x14ac:dyDescent="0.25">
      <c r="A128" t="s">
        <v>392</v>
      </c>
    </row>
    <row r="129" spans="1:2" ht="12.75" customHeight="1" x14ac:dyDescent="0.25">
      <c r="A129" t="s">
        <v>393</v>
      </c>
    </row>
    <row r="130" spans="1:2" ht="12.75" customHeight="1" x14ac:dyDescent="0.25">
      <c r="A130" t="s">
        <v>394</v>
      </c>
    </row>
    <row r="131" spans="1:2" ht="12.75" customHeight="1" x14ac:dyDescent="0.25">
      <c r="A131" t="s">
        <v>395</v>
      </c>
    </row>
    <row r="132" spans="1:2" ht="12.75" customHeight="1" x14ac:dyDescent="0.25">
      <c r="A132" t="s">
        <v>396</v>
      </c>
    </row>
    <row r="133" spans="1:2" ht="12.75" customHeight="1" x14ac:dyDescent="0.25">
      <c r="A133" t="s">
        <v>397</v>
      </c>
    </row>
    <row r="134" spans="1:2" ht="12.75" customHeight="1" x14ac:dyDescent="0.25">
      <c r="A134" t="s">
        <v>398</v>
      </c>
    </row>
    <row r="135" spans="1:2" ht="12.75" customHeight="1" x14ac:dyDescent="0.25">
      <c r="A135" t="s">
        <v>399</v>
      </c>
    </row>
    <row r="136" spans="1:2" ht="12.75" customHeight="1" x14ac:dyDescent="0.25">
      <c r="A136" t="s">
        <v>400</v>
      </c>
    </row>
    <row r="137" spans="1:2" ht="12.75" customHeight="1" x14ac:dyDescent="0.25">
      <c r="A137" t="s">
        <v>401</v>
      </c>
    </row>
    <row r="138" spans="1:2" ht="12.75" customHeight="1" x14ac:dyDescent="0.25">
      <c r="A138" t="s">
        <v>402</v>
      </c>
    </row>
    <row r="139" spans="1:2" ht="12.75" customHeight="1" x14ac:dyDescent="0.25">
      <c r="A139" t="s">
        <v>403</v>
      </c>
    </row>
    <row r="140" spans="1:2" ht="12.75" customHeight="1" x14ac:dyDescent="0.25">
      <c r="A140" t="s">
        <v>404</v>
      </c>
    </row>
    <row r="141" spans="1:2" ht="12.75" customHeight="1" x14ac:dyDescent="0.25">
      <c r="A141" t="s">
        <v>405</v>
      </c>
      <c r="B141" t="s">
        <v>406</v>
      </c>
    </row>
    <row r="142" spans="1:2" ht="12.75" customHeight="1" x14ac:dyDescent="0.25">
      <c r="B142" t="s">
        <v>407</v>
      </c>
    </row>
    <row r="143" spans="1:2" ht="12.75" customHeight="1" x14ac:dyDescent="0.25">
      <c r="B143" t="s">
        <v>408</v>
      </c>
    </row>
    <row r="144" spans="1:2" ht="12.75" customHeight="1" x14ac:dyDescent="0.25">
      <c r="B144" s="12" t="s">
        <v>409</v>
      </c>
    </row>
    <row r="145" spans="1:15" ht="12.75" customHeight="1" x14ac:dyDescent="0.25">
      <c r="B145" t="s">
        <v>410</v>
      </c>
    </row>
    <row r="146" spans="1:15" ht="12.75" customHeight="1" x14ac:dyDescent="0.25">
      <c r="B146" t="s">
        <v>411</v>
      </c>
    </row>
    <row r="147" spans="1:15" ht="12.75" customHeight="1" x14ac:dyDescent="0.25">
      <c r="A147" t="s">
        <v>412</v>
      </c>
      <c r="B147">
        <v>100</v>
      </c>
      <c r="D147" t="s">
        <v>413</v>
      </c>
      <c r="F147">
        <v>266</v>
      </c>
    </row>
    <row r="148" spans="1:15" ht="12.75" customHeight="1" x14ac:dyDescent="0.25">
      <c r="A148" s="12" t="s">
        <v>414</v>
      </c>
      <c r="B148" s="12">
        <v>1305</v>
      </c>
      <c r="C148" s="12"/>
      <c r="D148" s="12" t="s">
        <v>209</v>
      </c>
      <c r="J148">
        <v>24</v>
      </c>
      <c r="K148">
        <v>365</v>
      </c>
    </row>
    <row r="149" spans="1:15" ht="12.75" customHeight="1" x14ac:dyDescent="0.25">
      <c r="A149" t="s">
        <v>415</v>
      </c>
      <c r="B149">
        <v>8322</v>
      </c>
      <c r="D149" t="s">
        <v>416</v>
      </c>
      <c r="F149">
        <f>24*364</f>
        <v>8736</v>
      </c>
      <c r="I149">
        <f>F149-B149</f>
        <v>414</v>
      </c>
      <c r="J149">
        <f>I149/J148</f>
        <v>17.25</v>
      </c>
      <c r="K149" s="16">
        <f>(J149/K148)*100</f>
        <v>4.7260273972602738</v>
      </c>
    </row>
    <row r="150" spans="1:15" ht="12.75" customHeight="1" x14ac:dyDescent="0.25">
      <c r="A150" t="s">
        <v>417</v>
      </c>
      <c r="B150">
        <f>B147*B149</f>
        <v>832200</v>
      </c>
      <c r="D150" t="s">
        <v>318</v>
      </c>
      <c r="F150">
        <f>F147*B149</f>
        <v>2213652</v>
      </c>
      <c r="I150">
        <f>F147*F149</f>
        <v>2323776</v>
      </c>
    </row>
    <row r="151" spans="1:15" ht="12.75" customHeight="1" x14ac:dyDescent="0.25">
      <c r="A151" t="s">
        <v>418</v>
      </c>
      <c r="B151" s="67">
        <v>0.55000000000000004</v>
      </c>
      <c r="D151" t="s">
        <v>318</v>
      </c>
    </row>
    <row r="152" spans="1:15" ht="12.75" customHeight="1" x14ac:dyDescent="0.25">
      <c r="A152" t="s">
        <v>419</v>
      </c>
      <c r="B152" s="84">
        <f>B150*B151</f>
        <v>457710.00000000006</v>
      </c>
      <c r="D152" t="s">
        <v>318</v>
      </c>
      <c r="F152">
        <f>B148</f>
        <v>1305</v>
      </c>
    </row>
    <row r="153" spans="1:15" ht="12.75" customHeight="1" x14ac:dyDescent="0.25">
      <c r="B153" s="84">
        <v>1000000</v>
      </c>
      <c r="F153" s="16">
        <f>(B153*F152)/B152</f>
        <v>2851.1502916693971</v>
      </c>
    </row>
    <row r="154" spans="1:15" ht="12.75" customHeight="1" x14ac:dyDescent="0.25">
      <c r="A154" s="12" t="s">
        <v>420</v>
      </c>
      <c r="B154" s="60">
        <f>F153</f>
        <v>2851.1502916693971</v>
      </c>
      <c r="F154" s="16">
        <f>(B153*F152)/B150</f>
        <v>1568.1326604181686</v>
      </c>
    </row>
    <row r="157" spans="1:15" ht="12.75" customHeight="1" x14ac:dyDescent="0.25">
      <c r="A157" s="85" t="s">
        <v>421</v>
      </c>
      <c r="N157">
        <f>N161*N158</f>
        <v>3961488.6</v>
      </c>
    </row>
    <row r="158" spans="1:15" ht="12.75" customHeight="1" x14ac:dyDescent="0.25">
      <c r="A158" s="85" t="s">
        <v>422</v>
      </c>
      <c r="B158" s="85" t="s">
        <v>423</v>
      </c>
      <c r="C158" s="17">
        <f>D172</f>
        <v>1.9038130387644455E-2</v>
      </c>
      <c r="N158">
        <v>0.9</v>
      </c>
    </row>
    <row r="159" spans="1:15" ht="12.75" customHeight="1" x14ac:dyDescent="0.25">
      <c r="A159" t="s">
        <v>424</v>
      </c>
      <c r="N159">
        <f>N161*N160</f>
        <v>1100413.5</v>
      </c>
    </row>
    <row r="160" spans="1:15" ht="12.75" customHeight="1" x14ac:dyDescent="0.25">
      <c r="A160" t="s">
        <v>425</v>
      </c>
      <c r="N160">
        <v>0.25</v>
      </c>
      <c r="O160">
        <v>3</v>
      </c>
    </row>
    <row r="161" spans="1:21" ht="12.75" customHeight="1" x14ac:dyDescent="0.25">
      <c r="N161" s="84">
        <f>N163+N165+N164+N168</f>
        <v>4401654</v>
      </c>
      <c r="O161">
        <f>N161*O160</f>
        <v>13204962</v>
      </c>
    </row>
    <row r="162" spans="1:21" ht="12.75" customHeight="1" x14ac:dyDescent="0.25">
      <c r="B162" s="798" t="s">
        <v>412</v>
      </c>
      <c r="C162" s="798" t="s">
        <v>88</v>
      </c>
      <c r="D162" s="798" t="s">
        <v>426</v>
      </c>
      <c r="E162" s="798" t="s">
        <v>426</v>
      </c>
      <c r="F162" t="s">
        <v>427</v>
      </c>
      <c r="K162" s="84" t="s">
        <v>428</v>
      </c>
      <c r="L162" s="84" t="s">
        <v>361</v>
      </c>
      <c r="M162" s="84" t="s">
        <v>429</v>
      </c>
      <c r="N162" s="84" t="s">
        <v>363</v>
      </c>
      <c r="O162" s="84" t="s">
        <v>364</v>
      </c>
      <c r="P162" s="84" t="s">
        <v>365</v>
      </c>
      <c r="Q162" s="84" t="s">
        <v>366</v>
      </c>
      <c r="R162" s="84" t="s">
        <v>367</v>
      </c>
      <c r="S162" s="84" t="s">
        <v>368</v>
      </c>
      <c r="T162" s="84" t="s">
        <v>430</v>
      </c>
      <c r="U162">
        <v>0.6</v>
      </c>
    </row>
    <row r="163" spans="1:21" ht="12.75" customHeight="1" x14ac:dyDescent="0.25">
      <c r="B163" s="798" t="s">
        <v>431</v>
      </c>
      <c r="C163" s="798" t="s">
        <v>432</v>
      </c>
      <c r="D163" s="798">
        <v>13</v>
      </c>
      <c r="E163" s="798">
        <v>13</v>
      </c>
      <c r="F163" s="84">
        <v>307278072</v>
      </c>
      <c r="I163" s="84">
        <v>9000000</v>
      </c>
      <c r="K163" s="84" t="s">
        <v>433</v>
      </c>
      <c r="L163" s="84">
        <v>177385</v>
      </c>
      <c r="M163" s="84">
        <v>15</v>
      </c>
      <c r="N163" s="84">
        <v>2660775</v>
      </c>
      <c r="O163" s="84">
        <v>155</v>
      </c>
      <c r="P163" s="84">
        <v>412420125</v>
      </c>
      <c r="Q163" s="84">
        <v>371178113</v>
      </c>
      <c r="R163" s="84">
        <v>1</v>
      </c>
      <c r="S163" s="84">
        <v>371178113</v>
      </c>
      <c r="T163" s="84">
        <v>222706868</v>
      </c>
    </row>
    <row r="164" spans="1:21" ht="12.75" customHeight="1" x14ac:dyDescent="0.25">
      <c r="B164" s="798" t="s">
        <v>434</v>
      </c>
      <c r="C164" s="798" t="s">
        <v>154</v>
      </c>
      <c r="D164" s="798">
        <v>0.7</v>
      </c>
      <c r="E164" s="798">
        <v>0.2</v>
      </c>
      <c r="I164" s="8">
        <f>I163/F163</f>
        <v>2.9289431365606852E-2</v>
      </c>
      <c r="K164" s="84" t="s">
        <v>435</v>
      </c>
      <c r="L164" s="84">
        <v>53917</v>
      </c>
      <c r="M164" s="84">
        <v>15</v>
      </c>
      <c r="N164" s="84">
        <v>808755</v>
      </c>
      <c r="O164" s="84">
        <v>155</v>
      </c>
      <c r="P164" s="84">
        <v>125357025</v>
      </c>
      <c r="Q164" s="84">
        <v>112821323</v>
      </c>
      <c r="R164" s="84">
        <v>1</v>
      </c>
      <c r="S164" s="84">
        <v>112821323</v>
      </c>
      <c r="T164" s="84">
        <v>67692794</v>
      </c>
    </row>
    <row r="165" spans="1:21" ht="12.75" customHeight="1" x14ac:dyDescent="0.25">
      <c r="B165" s="798" t="s">
        <v>436</v>
      </c>
      <c r="C165" s="798" t="s">
        <v>432</v>
      </c>
      <c r="D165" s="799">
        <f>D163*D164</f>
        <v>9.1</v>
      </c>
      <c r="E165" s="799">
        <f>E163*E164</f>
        <v>2.6</v>
      </c>
      <c r="H165" t="s">
        <v>800</v>
      </c>
      <c r="K165" s="84" t="s">
        <v>437</v>
      </c>
      <c r="L165" s="84">
        <v>100000</v>
      </c>
      <c r="M165" s="84">
        <v>9</v>
      </c>
      <c r="N165" s="84">
        <v>900000</v>
      </c>
      <c r="O165" s="84">
        <v>119</v>
      </c>
      <c r="P165" s="84">
        <v>107100000</v>
      </c>
      <c r="Q165" s="84">
        <v>96390000</v>
      </c>
      <c r="R165" s="84">
        <v>0</v>
      </c>
      <c r="S165" s="84">
        <v>24097500</v>
      </c>
      <c r="T165" s="84">
        <v>14458500</v>
      </c>
    </row>
    <row r="166" spans="1:21" ht="12.75" customHeight="1" x14ac:dyDescent="0.25">
      <c r="B166" s="798" t="s">
        <v>438</v>
      </c>
      <c r="C166" s="798" t="s">
        <v>105</v>
      </c>
      <c r="D166" s="799">
        <v>30</v>
      </c>
      <c r="E166" s="799">
        <v>30</v>
      </c>
      <c r="K166" s="84" t="s">
        <v>439</v>
      </c>
      <c r="L166" s="84">
        <v>163135</v>
      </c>
      <c r="M166" s="84">
        <v>0</v>
      </c>
      <c r="N166" s="84">
        <v>0</v>
      </c>
      <c r="O166" s="84">
        <v>25</v>
      </c>
      <c r="P166" s="84">
        <v>96759447</v>
      </c>
      <c r="Q166" s="84">
        <v>87083502</v>
      </c>
      <c r="R166" s="84">
        <v>1</v>
      </c>
      <c r="S166" s="84">
        <v>62700122</v>
      </c>
      <c r="T166" s="84">
        <v>0</v>
      </c>
      <c r="U166">
        <f>S166*U162</f>
        <v>37620073.199999996</v>
      </c>
    </row>
    <row r="167" spans="1:21" ht="12.75" customHeight="1" x14ac:dyDescent="0.25">
      <c r="B167" s="798" t="s">
        <v>440</v>
      </c>
      <c r="C167" s="798" t="s">
        <v>196</v>
      </c>
      <c r="D167" s="799">
        <f>D165*1000000/D166</f>
        <v>303333.33333333331</v>
      </c>
      <c r="E167" s="799">
        <f>E165*1000000/E166</f>
        <v>86666.666666666672</v>
      </c>
      <c r="K167" s="84" t="s">
        <v>441</v>
      </c>
      <c r="L167" s="84">
        <v>360990</v>
      </c>
      <c r="M167" s="84">
        <v>0</v>
      </c>
      <c r="N167" s="84">
        <v>0</v>
      </c>
      <c r="O167" s="84">
        <v>29</v>
      </c>
      <c r="P167" s="84">
        <v>11621351</v>
      </c>
      <c r="Q167" s="84">
        <v>10459216</v>
      </c>
      <c r="R167" s="84">
        <v>1</v>
      </c>
      <c r="S167" s="84">
        <v>6798490</v>
      </c>
      <c r="T167" s="84">
        <v>0</v>
      </c>
      <c r="U167">
        <f>S167*U162</f>
        <v>4079094</v>
      </c>
    </row>
    <row r="168" spans="1:21" ht="12.75" customHeight="1" x14ac:dyDescent="0.25">
      <c r="B168" s="798" t="s">
        <v>442</v>
      </c>
      <c r="C168" s="798" t="s">
        <v>443</v>
      </c>
      <c r="D168" s="799">
        <v>135</v>
      </c>
      <c r="E168" s="799">
        <v>135</v>
      </c>
      <c r="K168" s="84" t="s">
        <v>444</v>
      </c>
      <c r="L168" s="84">
        <v>32124</v>
      </c>
      <c r="M168" s="84">
        <v>0</v>
      </c>
      <c r="N168" s="84">
        <v>32124</v>
      </c>
      <c r="O168" s="84">
        <v>155</v>
      </c>
      <c r="P168" s="84">
        <v>4979241</v>
      </c>
      <c r="Q168" s="84">
        <v>4481317</v>
      </c>
      <c r="R168" s="84">
        <v>1</v>
      </c>
      <c r="S168" s="84">
        <v>4033185</v>
      </c>
      <c r="T168" s="84">
        <v>2419911</v>
      </c>
    </row>
    <row r="169" spans="1:21" ht="12.75" customHeight="1" x14ac:dyDescent="0.25">
      <c r="B169" s="798" t="s">
        <v>445</v>
      </c>
      <c r="C169" s="798" t="s">
        <v>214</v>
      </c>
      <c r="D169" s="799">
        <f>D167*D168/1000</f>
        <v>40950</v>
      </c>
      <c r="E169" s="799">
        <f>E167*E168/1000</f>
        <v>11700</v>
      </c>
      <c r="K169" s="84" t="s">
        <v>446</v>
      </c>
      <c r="L169" s="84">
        <v>331302</v>
      </c>
      <c r="M169" s="84"/>
      <c r="N169" s="84" t="s">
        <v>447</v>
      </c>
      <c r="O169" s="84" t="s">
        <v>448</v>
      </c>
      <c r="P169" s="84"/>
      <c r="Q169" s="84"/>
      <c r="R169" s="84"/>
      <c r="S169" s="84"/>
      <c r="T169" s="84">
        <v>307278072</v>
      </c>
      <c r="U169">
        <f>U166+U167</f>
        <v>41699167.199999996</v>
      </c>
    </row>
    <row r="170" spans="1:21" ht="12.75" customHeight="1" x14ac:dyDescent="0.25">
      <c r="B170" s="798" t="s">
        <v>449</v>
      </c>
      <c r="C170" s="798" t="s">
        <v>102</v>
      </c>
      <c r="D170" s="799">
        <f>500*0.1</f>
        <v>50</v>
      </c>
      <c r="E170" s="799">
        <v>500</v>
      </c>
      <c r="K170" s="84" t="s">
        <v>433</v>
      </c>
      <c r="L170" s="84"/>
      <c r="M170" s="84"/>
      <c r="N170" s="84">
        <v>7982325</v>
      </c>
      <c r="O170" s="84"/>
      <c r="P170" s="84"/>
      <c r="Q170" s="84"/>
      <c r="R170" s="84"/>
      <c r="S170" s="84"/>
      <c r="T170" s="84">
        <f>SUM(T163:T168)</f>
        <v>307278073</v>
      </c>
    </row>
    <row r="171" spans="1:21" ht="12.75" customHeight="1" x14ac:dyDescent="0.25">
      <c r="B171" s="798" t="s">
        <v>450</v>
      </c>
      <c r="C171" s="798" t="s">
        <v>423</v>
      </c>
      <c r="D171" s="799">
        <f>D169*D170</f>
        <v>2047500</v>
      </c>
      <c r="E171" s="799">
        <f>E169*E170</f>
        <v>5850000</v>
      </c>
      <c r="F171" s="84">
        <f>T169*G171</f>
        <v>107547325.19999999</v>
      </c>
      <c r="G171">
        <v>0.35</v>
      </c>
      <c r="H171" t="s">
        <v>1203</v>
      </c>
      <c r="K171" s="84" t="s">
        <v>435</v>
      </c>
      <c r="L171" s="84"/>
      <c r="M171" s="84"/>
      <c r="N171" s="84">
        <v>2426265</v>
      </c>
      <c r="O171" s="84"/>
      <c r="P171" s="84"/>
      <c r="Q171" s="84"/>
      <c r="R171" s="84"/>
      <c r="S171" s="84"/>
      <c r="T171" s="84"/>
    </row>
    <row r="172" spans="1:21" ht="42" customHeight="1" x14ac:dyDescent="0.25">
      <c r="B172" s="800" t="s">
        <v>422</v>
      </c>
      <c r="C172" s="800" t="s">
        <v>166</v>
      </c>
      <c r="D172" s="801">
        <f>D171/F171</f>
        <v>1.9038130387644455E-2</v>
      </c>
      <c r="E172" s="801">
        <f>E171/F171</f>
        <v>5.4394658250412731E-2</v>
      </c>
      <c r="I172">
        <f>D172*F171</f>
        <v>2047500</v>
      </c>
      <c r="K172" s="84" t="s">
        <v>437</v>
      </c>
      <c r="L172" s="84"/>
      <c r="M172" s="84"/>
      <c r="N172" s="84">
        <v>2700000</v>
      </c>
      <c r="O172" s="84"/>
      <c r="P172" s="84"/>
      <c r="Q172" s="84"/>
      <c r="R172" s="84"/>
      <c r="S172" s="84"/>
      <c r="T172" s="84"/>
    </row>
    <row r="173" spans="1:21" ht="12.75" customHeight="1" x14ac:dyDescent="0.25">
      <c r="D173" s="84">
        <f>D172*1000000</f>
        <v>19038.130387644454</v>
      </c>
      <c r="K173" s="84" t="s">
        <v>439</v>
      </c>
      <c r="L173" s="84"/>
      <c r="M173" s="84"/>
      <c r="N173" s="84">
        <v>0</v>
      </c>
      <c r="O173" s="84"/>
      <c r="P173" s="84"/>
      <c r="Q173" s="84"/>
      <c r="R173" s="84"/>
      <c r="S173" s="84"/>
      <c r="T173" s="84"/>
    </row>
    <row r="174" spans="1:21" ht="12.75" customHeight="1" x14ac:dyDescent="0.25">
      <c r="A174" t="s">
        <v>451</v>
      </c>
      <c r="B174" t="s">
        <v>452</v>
      </c>
      <c r="D174" s="84"/>
      <c r="K174" s="84" t="s">
        <v>441</v>
      </c>
      <c r="L174" s="84"/>
      <c r="M174" s="84"/>
      <c r="N174" s="84">
        <v>0</v>
      </c>
      <c r="O174" s="84"/>
      <c r="P174" s="84"/>
      <c r="Q174" s="84"/>
      <c r="R174" s="84"/>
      <c r="S174" s="84"/>
      <c r="T174" s="84"/>
    </row>
    <row r="175" spans="1:21" ht="12.75" customHeight="1" x14ac:dyDescent="0.25">
      <c r="A175" t="s">
        <v>71</v>
      </c>
      <c r="B175" t="s">
        <v>453</v>
      </c>
      <c r="D175" s="84" t="s">
        <v>454</v>
      </c>
      <c r="F175" t="s">
        <v>455</v>
      </c>
      <c r="K175" s="84" t="s">
        <v>444</v>
      </c>
      <c r="L175" s="84"/>
      <c r="M175" s="84"/>
      <c r="N175" s="84">
        <v>96372</v>
      </c>
      <c r="O175" s="84"/>
      <c r="P175" s="84"/>
      <c r="Q175" s="84"/>
      <c r="R175" s="84"/>
      <c r="S175" s="84"/>
      <c r="T175" s="84"/>
    </row>
    <row r="176" spans="1:21" ht="12.75" customHeight="1" x14ac:dyDescent="0.25">
      <c r="A176" t="s">
        <v>456</v>
      </c>
      <c r="B176" t="s">
        <v>457</v>
      </c>
      <c r="C176" t="s">
        <v>458</v>
      </c>
      <c r="D176" s="84">
        <v>17</v>
      </c>
      <c r="F176">
        <v>23</v>
      </c>
      <c r="K176" s="84"/>
      <c r="L176" s="84"/>
      <c r="M176" s="84" t="s">
        <v>328</v>
      </c>
      <c r="N176" s="84">
        <v>13204962</v>
      </c>
      <c r="O176" s="84">
        <v>4401654</v>
      </c>
      <c r="P176" s="84"/>
      <c r="Q176" s="84"/>
      <c r="R176" s="84"/>
      <c r="S176" s="84"/>
      <c r="T176" s="84"/>
    </row>
    <row r="177" spans="1:14" ht="12.75" customHeight="1" x14ac:dyDescent="0.25">
      <c r="A177" t="s">
        <v>211</v>
      </c>
      <c r="B177">
        <v>83.8</v>
      </c>
      <c r="C177" t="s">
        <v>459</v>
      </c>
      <c r="D177" s="84">
        <v>13</v>
      </c>
      <c r="F177">
        <v>16</v>
      </c>
      <c r="N177" s="84">
        <f>SUM(N170:N175)</f>
        <v>13204962</v>
      </c>
    </row>
    <row r="178" spans="1:14" ht="12.75" customHeight="1" x14ac:dyDescent="0.25">
      <c r="A178" t="s">
        <v>460</v>
      </c>
      <c r="B178">
        <f>((F176+F177)+F178)/3</f>
        <v>18</v>
      </c>
      <c r="C178" t="s">
        <v>461</v>
      </c>
      <c r="D178" s="84">
        <v>12</v>
      </c>
      <c r="F178">
        <v>15</v>
      </c>
    </row>
    <row r="180" spans="1:14" ht="18" customHeight="1" x14ac:dyDescent="0.3">
      <c r="A180" s="286" t="s">
        <v>754</v>
      </c>
      <c r="C180" t="s">
        <v>7</v>
      </c>
      <c r="D180" s="84"/>
    </row>
    <row r="181" spans="1:14" ht="12.75" customHeight="1" x14ac:dyDescent="0.25">
      <c r="A181" s="659" t="s">
        <v>743</v>
      </c>
      <c r="D181" s="84"/>
    </row>
    <row r="182" spans="1:14" ht="12.75" customHeight="1" x14ac:dyDescent="0.3">
      <c r="A182" s="802" t="s">
        <v>744</v>
      </c>
      <c r="B182" s="802" t="s">
        <v>88</v>
      </c>
      <c r="C182" s="802" t="s">
        <v>426</v>
      </c>
    </row>
    <row r="183" spans="1:14" ht="12.75" customHeight="1" x14ac:dyDescent="0.3">
      <c r="A183" s="803" t="s">
        <v>745</v>
      </c>
      <c r="B183" s="803" t="s">
        <v>746</v>
      </c>
      <c r="C183" s="803">
        <f>0.5*4.2</f>
        <v>2.1</v>
      </c>
      <c r="D183" s="84" t="s">
        <v>825</v>
      </c>
    </row>
    <row r="184" spans="1:14" ht="12.75" customHeight="1" x14ac:dyDescent="0.3">
      <c r="A184" s="803" t="s">
        <v>747</v>
      </c>
      <c r="B184" s="803" t="s">
        <v>105</v>
      </c>
      <c r="C184" s="803">
        <v>30</v>
      </c>
      <c r="D184" s="84"/>
    </row>
    <row r="185" spans="1:14" ht="12.75" customHeight="1" x14ac:dyDescent="0.3">
      <c r="A185" s="803" t="s">
        <v>748</v>
      </c>
      <c r="B185" s="803" t="s">
        <v>749</v>
      </c>
      <c r="C185" s="803">
        <f>C183/C184</f>
        <v>7.0000000000000007E-2</v>
      </c>
      <c r="D185" s="84"/>
    </row>
    <row r="186" spans="1:14" ht="12.75" customHeight="1" x14ac:dyDescent="0.3">
      <c r="A186" s="803" t="s">
        <v>750</v>
      </c>
      <c r="B186" s="803" t="s">
        <v>751</v>
      </c>
      <c r="C186" s="803">
        <v>50</v>
      </c>
      <c r="D186" s="84"/>
    </row>
    <row r="187" spans="1:14" ht="12.75" customHeight="1" x14ac:dyDescent="0.3">
      <c r="A187" s="803" t="s">
        <v>752</v>
      </c>
      <c r="B187" s="803" t="s">
        <v>753</v>
      </c>
      <c r="C187" s="804">
        <f>C185*C186</f>
        <v>3.5000000000000004</v>
      </c>
      <c r="D187" s="84"/>
    </row>
    <row r="188" spans="1:14" ht="12.75" customHeight="1" x14ac:dyDescent="0.25">
      <c r="A188" t="s">
        <v>419</v>
      </c>
      <c r="B188" t="s">
        <v>78</v>
      </c>
      <c r="C188">
        <f>U169/1000000</f>
        <v>41.699167199999998</v>
      </c>
      <c r="D188" s="84"/>
    </row>
    <row r="189" spans="1:14" ht="12.75" customHeight="1" x14ac:dyDescent="0.25">
      <c r="A189" t="s">
        <v>754</v>
      </c>
      <c r="B189" t="s">
        <v>758</v>
      </c>
      <c r="C189" s="935">
        <f>C187/C188*C190</f>
        <v>3.3573811996897636E-2</v>
      </c>
      <c r="D189" s="78">
        <f>C187/C188</f>
        <v>8.3934529992244086E-2</v>
      </c>
    </row>
    <row r="190" spans="1:14" ht="12.75" customHeight="1" x14ac:dyDescent="0.25">
      <c r="B190" t="s">
        <v>1204</v>
      </c>
      <c r="C190">
        <v>0.4</v>
      </c>
      <c r="D190" s="84"/>
    </row>
    <row r="191" spans="1:14" ht="12.75" customHeight="1" x14ac:dyDescent="0.25">
      <c r="D191" s="84"/>
    </row>
    <row r="192" spans="1:14" ht="12.75" customHeight="1" x14ac:dyDescent="0.25">
      <c r="C192" s="658">
        <f>C189</f>
        <v>3.3573811996897636E-2</v>
      </c>
    </row>
    <row r="193" spans="1:6" ht="73.95" customHeight="1" x14ac:dyDescent="0.3">
      <c r="A193" s="286" t="s">
        <v>763</v>
      </c>
      <c r="F193" t="s">
        <v>777</v>
      </c>
    </row>
    <row r="194" spans="1:6" ht="12.75" customHeight="1" x14ac:dyDescent="0.25">
      <c r="A194" t="s">
        <v>770</v>
      </c>
      <c r="F194" t="s">
        <v>778</v>
      </c>
    </row>
    <row r="195" spans="1:6" ht="12.75" customHeight="1" x14ac:dyDescent="0.25">
      <c r="A195" t="s">
        <v>764</v>
      </c>
      <c r="F195" t="s">
        <v>779</v>
      </c>
    </row>
    <row r="196" spans="1:6" ht="12.75" customHeight="1" x14ac:dyDescent="0.25">
      <c r="A196" t="s">
        <v>765</v>
      </c>
      <c r="B196">
        <v>34</v>
      </c>
      <c r="C196" t="s">
        <v>787</v>
      </c>
      <c r="F196" t="s">
        <v>780</v>
      </c>
    </row>
    <row r="197" spans="1:6" ht="12.75" customHeight="1" x14ac:dyDescent="0.25">
      <c r="A197" t="s">
        <v>766</v>
      </c>
      <c r="B197">
        <v>1.35</v>
      </c>
      <c r="C197" t="s">
        <v>788</v>
      </c>
      <c r="F197" t="s">
        <v>781</v>
      </c>
    </row>
    <row r="198" spans="1:6" ht="12.75" customHeight="1" x14ac:dyDescent="0.25">
      <c r="A198" t="s">
        <v>767</v>
      </c>
      <c r="B198" s="303">
        <f>B196/B197</f>
        <v>25.185185185185183</v>
      </c>
      <c r="C198" t="s">
        <v>23</v>
      </c>
      <c r="D198">
        <f>B196/B198</f>
        <v>1.35</v>
      </c>
      <c r="F198" t="s">
        <v>782</v>
      </c>
    </row>
    <row r="199" spans="1:6" ht="12.75" customHeight="1" x14ac:dyDescent="0.25">
      <c r="A199" t="s">
        <v>768</v>
      </c>
      <c r="B199" s="303">
        <f>B208/B197</f>
        <v>0.57703703703703701</v>
      </c>
      <c r="C199" t="s">
        <v>789</v>
      </c>
      <c r="D199">
        <v>0.77900000000000003</v>
      </c>
    </row>
    <row r="200" spans="1:6" ht="12.75" customHeight="1" x14ac:dyDescent="0.25">
      <c r="B200" s="303">
        <v>1.2</v>
      </c>
      <c r="C200" t="s">
        <v>783</v>
      </c>
      <c r="D200">
        <f>D199/D198</f>
        <v>0.57703703703703701</v>
      </c>
    </row>
    <row r="201" spans="1:6" ht="25.95" customHeight="1" x14ac:dyDescent="0.25">
      <c r="B201" s="295">
        <f>B199/B200</f>
        <v>0.48086419753086418</v>
      </c>
      <c r="C201" t="s">
        <v>786</v>
      </c>
      <c r="D201">
        <v>1.2</v>
      </c>
    </row>
    <row r="202" spans="1:6" ht="12.75" customHeight="1" x14ac:dyDescent="0.25">
      <c r="A202" t="s">
        <v>769</v>
      </c>
      <c r="B202" s="303">
        <f>1/B197</f>
        <v>0.7407407407407407</v>
      </c>
      <c r="D202">
        <f>D200/D201</f>
        <v>0.48086419753086418</v>
      </c>
    </row>
    <row r="203" spans="1:6" ht="12.75" customHeight="1" x14ac:dyDescent="0.25">
      <c r="D203">
        <v>0.75</v>
      </c>
    </row>
    <row r="204" spans="1:6" ht="12.75" customHeight="1" x14ac:dyDescent="0.25">
      <c r="A204" t="s">
        <v>771</v>
      </c>
      <c r="D204">
        <f>D203*D198</f>
        <v>1.0125000000000002</v>
      </c>
      <c r="E204" t="s">
        <v>1154</v>
      </c>
    </row>
    <row r="205" spans="1:6" ht="12.75" customHeight="1" x14ac:dyDescent="0.25">
      <c r="D205">
        <f>D204*D201</f>
        <v>1.2150000000000001</v>
      </c>
    </row>
    <row r="206" spans="1:6" ht="12.75" customHeight="1" x14ac:dyDescent="0.25">
      <c r="A206" t="s">
        <v>772</v>
      </c>
      <c r="D206">
        <f>D203*D201</f>
        <v>0.89999999999999991</v>
      </c>
    </row>
    <row r="207" spans="1:6" ht="12.75" customHeight="1" x14ac:dyDescent="0.25">
      <c r="A207" t="s">
        <v>773</v>
      </c>
      <c r="D207">
        <v>1.3</v>
      </c>
    </row>
    <row r="208" spans="1:6" ht="12.75" customHeight="1" x14ac:dyDescent="0.25">
      <c r="A208" t="s">
        <v>774</v>
      </c>
      <c r="B208">
        <v>0.77900000000000003</v>
      </c>
      <c r="D208" s="67">
        <f>1-(D206/D207)</f>
        <v>0.30769230769230782</v>
      </c>
      <c r="E208" t="s">
        <v>1155</v>
      </c>
    </row>
    <row r="209" spans="1:42" ht="12.75" customHeight="1" x14ac:dyDescent="0.25">
      <c r="A209" t="s">
        <v>775</v>
      </c>
    </row>
    <row r="210" spans="1:42" ht="12.75" customHeight="1" x14ac:dyDescent="0.25">
      <c r="A210" t="s">
        <v>776</v>
      </c>
    </row>
    <row r="212" spans="1:42" s="285" customFormat="1" ht="21" x14ac:dyDescent="0.4">
      <c r="A212" t="s">
        <v>360</v>
      </c>
      <c r="B212" s="315" t="s">
        <v>760</v>
      </c>
      <c r="C212"/>
      <c r="D212">
        <v>2012</v>
      </c>
      <c r="E212" s="285">
        <v>2013</v>
      </c>
      <c r="F212" s="285">
        <v>2014</v>
      </c>
      <c r="G212" s="285">
        <v>2015</v>
      </c>
      <c r="H212" s="285">
        <v>2016</v>
      </c>
      <c r="I212" s="285">
        <v>2017</v>
      </c>
      <c r="J212" s="285">
        <v>2018</v>
      </c>
      <c r="K212" s="285">
        <v>2019</v>
      </c>
      <c r="L212" s="285">
        <v>2020</v>
      </c>
      <c r="M212" s="285">
        <v>2021</v>
      </c>
      <c r="N212" s="285">
        <v>2022</v>
      </c>
      <c r="O212" s="285">
        <v>2023</v>
      </c>
      <c r="P212" s="285">
        <v>2024</v>
      </c>
      <c r="Q212" s="285">
        <v>2025</v>
      </c>
      <c r="R212" s="285">
        <v>2026</v>
      </c>
      <c r="S212" s="285">
        <v>2027</v>
      </c>
      <c r="T212" s="285">
        <v>2028</v>
      </c>
      <c r="U212" s="285">
        <v>2029</v>
      </c>
      <c r="V212" s="285">
        <v>2030</v>
      </c>
      <c r="W212" s="285">
        <v>2031</v>
      </c>
      <c r="X212" s="285">
        <v>2032</v>
      </c>
      <c r="Y212" s="285">
        <v>2033</v>
      </c>
      <c r="Z212" s="285">
        <v>2034</v>
      </c>
      <c r="AA212" s="285">
        <v>2035</v>
      </c>
      <c r="AB212" s="285">
        <v>2036</v>
      </c>
      <c r="AC212" s="285">
        <v>2037</v>
      </c>
      <c r="AD212" s="285">
        <v>2038</v>
      </c>
      <c r="AE212" s="285">
        <v>2039</v>
      </c>
      <c r="AF212" s="285">
        <v>2040</v>
      </c>
      <c r="AG212" s="285">
        <v>2041</v>
      </c>
      <c r="AH212" s="285">
        <v>2042</v>
      </c>
      <c r="AI212" s="285">
        <v>2043</v>
      </c>
      <c r="AJ212" s="285">
        <v>2044</v>
      </c>
      <c r="AK212" s="285">
        <v>2045</v>
      </c>
      <c r="AL212" s="285">
        <v>2046</v>
      </c>
      <c r="AM212" s="285">
        <v>2047</v>
      </c>
      <c r="AN212" s="285">
        <v>2048</v>
      </c>
      <c r="AO212" s="285">
        <v>2049</v>
      </c>
      <c r="AP212" s="285">
        <v>2050</v>
      </c>
    </row>
    <row r="213" spans="1:42" s="285" customFormat="1" ht="13.2" x14ac:dyDescent="0.25">
      <c r="A213">
        <v>2012</v>
      </c>
      <c r="B213" s="288">
        <v>7.2</v>
      </c>
      <c r="C213"/>
      <c r="D213" s="288">
        <f>B213</f>
        <v>7.2</v>
      </c>
      <c r="E213" s="314">
        <f>B217</f>
        <v>8.1750000000000007</v>
      </c>
      <c r="F213" s="314">
        <f>B218</f>
        <v>9.15</v>
      </c>
      <c r="G213" s="314">
        <f>B219</f>
        <v>10.125</v>
      </c>
      <c r="H213" s="314">
        <f>B217</f>
        <v>8.1750000000000007</v>
      </c>
      <c r="I213" s="314">
        <f>B218</f>
        <v>9.15</v>
      </c>
      <c r="J213" s="314">
        <f>B219</f>
        <v>10.125</v>
      </c>
      <c r="K213" s="314">
        <f>B220</f>
        <v>11.1</v>
      </c>
      <c r="L213" s="314">
        <f>B221</f>
        <v>12.074999999999999</v>
      </c>
      <c r="M213" s="314">
        <f>B222</f>
        <v>13.05</v>
      </c>
      <c r="N213" s="314">
        <f>B223</f>
        <v>14.025</v>
      </c>
      <c r="O213" s="314">
        <f>B224</f>
        <v>15</v>
      </c>
      <c r="P213" s="314">
        <f>B225</f>
        <v>15.975</v>
      </c>
      <c r="Q213" s="314">
        <f>B226</f>
        <v>16.95</v>
      </c>
      <c r="R213" s="314">
        <f>B227</f>
        <v>17.925000000000001</v>
      </c>
      <c r="S213" s="314">
        <f>B228</f>
        <v>18.899999999999999</v>
      </c>
      <c r="T213" s="314">
        <f>B229</f>
        <v>19.875</v>
      </c>
      <c r="U213" s="314">
        <f>B230</f>
        <v>20.85</v>
      </c>
      <c r="V213" s="314">
        <f>B231</f>
        <v>21.824999999999999</v>
      </c>
      <c r="W213" s="314">
        <f>B232</f>
        <v>22.8</v>
      </c>
      <c r="X213" s="314">
        <f>B233</f>
        <v>23.774999999999999</v>
      </c>
      <c r="Y213" s="314">
        <f>B234</f>
        <v>24.75</v>
      </c>
      <c r="Z213" s="314">
        <f>B235</f>
        <v>25.8</v>
      </c>
      <c r="AA213" s="285">
        <f>B236</f>
        <v>26.85</v>
      </c>
      <c r="AB213" s="285">
        <f>B237</f>
        <v>27.9</v>
      </c>
      <c r="AC213" s="285">
        <v>32</v>
      </c>
      <c r="AD213" s="285">
        <v>33</v>
      </c>
      <c r="AE213" s="285">
        <v>34</v>
      </c>
      <c r="AF213" s="285">
        <v>35</v>
      </c>
      <c r="AG213" s="285">
        <v>36</v>
      </c>
      <c r="AH213" s="285">
        <v>37</v>
      </c>
      <c r="AI213" s="285">
        <v>38</v>
      </c>
      <c r="AJ213" s="285">
        <v>39</v>
      </c>
      <c r="AK213" s="285">
        <v>40</v>
      </c>
      <c r="AL213" s="285">
        <v>41</v>
      </c>
      <c r="AM213" s="285">
        <v>42</v>
      </c>
      <c r="AN213" s="285">
        <v>43</v>
      </c>
      <c r="AO213" s="285">
        <v>44</v>
      </c>
      <c r="AP213" s="285">
        <v>45</v>
      </c>
    </row>
    <row r="215" spans="1:42" ht="12.75" customHeight="1" x14ac:dyDescent="0.25">
      <c r="A215" t="s">
        <v>360</v>
      </c>
      <c r="B215" t="s">
        <v>760</v>
      </c>
    </row>
    <row r="216" spans="1:42" ht="12.75" customHeight="1" x14ac:dyDescent="0.25">
      <c r="A216">
        <v>2012</v>
      </c>
      <c r="B216" s="288">
        <v>7.2</v>
      </c>
    </row>
    <row r="217" spans="1:42" ht="12.75" customHeight="1" x14ac:dyDescent="0.25">
      <c r="A217">
        <v>2013</v>
      </c>
      <c r="B217" s="288">
        <v>8.1750000000000007</v>
      </c>
    </row>
    <row r="218" spans="1:42" ht="12.75" customHeight="1" x14ac:dyDescent="0.25">
      <c r="A218">
        <v>2014</v>
      </c>
      <c r="B218" s="288">
        <v>9.15</v>
      </c>
    </row>
    <row r="219" spans="1:42" ht="12.75" customHeight="1" x14ac:dyDescent="0.25">
      <c r="A219">
        <v>2015</v>
      </c>
      <c r="B219" s="288">
        <v>10.125</v>
      </c>
    </row>
    <row r="220" spans="1:42" ht="12.75" customHeight="1" x14ac:dyDescent="0.25">
      <c r="A220">
        <v>2016</v>
      </c>
      <c r="B220" s="288">
        <v>11.1</v>
      </c>
    </row>
    <row r="221" spans="1:42" ht="12.75" customHeight="1" x14ac:dyDescent="0.25">
      <c r="A221">
        <v>2017</v>
      </c>
      <c r="B221" s="288">
        <v>12.074999999999999</v>
      </c>
    </row>
    <row r="222" spans="1:42" ht="12.75" customHeight="1" x14ac:dyDescent="0.25">
      <c r="A222">
        <v>2018</v>
      </c>
      <c r="B222" s="288">
        <v>13.05</v>
      </c>
    </row>
    <row r="223" spans="1:42" ht="12.75" customHeight="1" x14ac:dyDescent="0.25">
      <c r="A223">
        <v>2019</v>
      </c>
      <c r="B223" s="288">
        <v>14.025</v>
      </c>
    </row>
    <row r="224" spans="1:42" ht="12.75" customHeight="1" x14ac:dyDescent="0.25">
      <c r="A224">
        <v>2020</v>
      </c>
      <c r="B224" s="288">
        <v>15</v>
      </c>
    </row>
    <row r="225" spans="1:2" ht="12.75" customHeight="1" x14ac:dyDescent="0.25">
      <c r="A225">
        <v>2021</v>
      </c>
      <c r="B225" s="288">
        <v>15.975</v>
      </c>
    </row>
    <row r="226" spans="1:2" ht="12.75" customHeight="1" x14ac:dyDescent="0.25">
      <c r="A226">
        <v>2022</v>
      </c>
      <c r="B226" s="288">
        <v>16.95</v>
      </c>
    </row>
    <row r="227" spans="1:2" ht="12.75" customHeight="1" x14ac:dyDescent="0.25">
      <c r="A227">
        <v>2023</v>
      </c>
      <c r="B227" s="288">
        <v>17.925000000000001</v>
      </c>
    </row>
    <row r="228" spans="1:2" ht="12.75" customHeight="1" x14ac:dyDescent="0.25">
      <c r="A228">
        <v>2024</v>
      </c>
      <c r="B228" s="288">
        <v>18.899999999999999</v>
      </c>
    </row>
    <row r="229" spans="1:2" ht="12.75" customHeight="1" x14ac:dyDescent="0.25">
      <c r="A229">
        <v>2025</v>
      </c>
      <c r="B229" s="288">
        <v>19.875</v>
      </c>
    </row>
    <row r="230" spans="1:2" ht="12.75" customHeight="1" x14ac:dyDescent="0.25">
      <c r="A230">
        <v>2026</v>
      </c>
      <c r="B230" s="288">
        <v>20.85</v>
      </c>
    </row>
    <row r="231" spans="1:2" ht="12.75" customHeight="1" x14ac:dyDescent="0.25">
      <c r="A231">
        <v>2027</v>
      </c>
      <c r="B231" s="288">
        <v>21.824999999999999</v>
      </c>
    </row>
    <row r="232" spans="1:2" ht="12.75" customHeight="1" x14ac:dyDescent="0.25">
      <c r="A232">
        <v>2028</v>
      </c>
      <c r="B232" s="288">
        <v>22.8</v>
      </c>
    </row>
    <row r="233" spans="1:2" ht="12.75" customHeight="1" x14ac:dyDescent="0.25">
      <c r="A233">
        <v>2029</v>
      </c>
      <c r="B233" s="288">
        <v>23.774999999999999</v>
      </c>
    </row>
    <row r="234" spans="1:2" ht="12.75" customHeight="1" x14ac:dyDescent="0.25">
      <c r="A234">
        <v>2030</v>
      </c>
      <c r="B234" s="288">
        <v>24.75</v>
      </c>
    </row>
    <row r="235" spans="1:2" ht="12.75" customHeight="1" x14ac:dyDescent="0.25">
      <c r="A235">
        <v>2031</v>
      </c>
      <c r="B235" s="288">
        <v>25.8</v>
      </c>
    </row>
    <row r="236" spans="1:2" ht="12.75" customHeight="1" x14ac:dyDescent="0.25">
      <c r="A236">
        <v>2032</v>
      </c>
      <c r="B236" s="288">
        <v>26.85</v>
      </c>
    </row>
    <row r="237" spans="1:2" ht="12.75" customHeight="1" x14ac:dyDescent="0.25">
      <c r="A237">
        <v>2033</v>
      </c>
      <c r="B237" s="288">
        <v>27.9</v>
      </c>
    </row>
    <row r="238" spans="1:2" ht="12.75" customHeight="1" x14ac:dyDescent="0.25">
      <c r="A238">
        <v>2034</v>
      </c>
      <c r="B238" s="288">
        <v>28.95</v>
      </c>
    </row>
    <row r="239" spans="1:2" ht="12.75" customHeight="1" x14ac:dyDescent="0.25">
      <c r="A239">
        <v>2035</v>
      </c>
      <c r="B239">
        <v>30</v>
      </c>
    </row>
    <row r="240" spans="1:2" ht="12.75" customHeight="1" x14ac:dyDescent="0.25">
      <c r="A240">
        <v>2036</v>
      </c>
      <c r="B240">
        <v>31</v>
      </c>
    </row>
    <row r="241" spans="1:2" ht="12.75" customHeight="1" x14ac:dyDescent="0.25">
      <c r="A241">
        <v>2037</v>
      </c>
      <c r="B241">
        <v>32</v>
      </c>
    </row>
    <row r="242" spans="1:2" ht="12.75" customHeight="1" x14ac:dyDescent="0.25">
      <c r="A242">
        <v>2038</v>
      </c>
      <c r="B242">
        <v>33</v>
      </c>
    </row>
    <row r="243" spans="1:2" ht="12.75" customHeight="1" x14ac:dyDescent="0.25">
      <c r="A243">
        <v>2039</v>
      </c>
      <c r="B243">
        <v>34</v>
      </c>
    </row>
    <row r="244" spans="1:2" ht="12.75" customHeight="1" x14ac:dyDescent="0.25">
      <c r="A244">
        <v>2040</v>
      </c>
      <c r="B244">
        <v>35</v>
      </c>
    </row>
    <row r="245" spans="1:2" ht="12.75" customHeight="1" x14ac:dyDescent="0.25">
      <c r="A245">
        <v>2041</v>
      </c>
      <c r="B245">
        <v>36</v>
      </c>
    </row>
    <row r="246" spans="1:2" ht="12.75" customHeight="1" x14ac:dyDescent="0.25">
      <c r="A246">
        <v>2042</v>
      </c>
      <c r="B246">
        <v>37</v>
      </c>
    </row>
    <row r="247" spans="1:2" ht="12.75" customHeight="1" x14ac:dyDescent="0.25">
      <c r="A247">
        <v>2043</v>
      </c>
      <c r="B247">
        <v>38</v>
      </c>
    </row>
    <row r="248" spans="1:2" ht="12.75" customHeight="1" x14ac:dyDescent="0.25">
      <c r="A248">
        <v>2044</v>
      </c>
      <c r="B248">
        <v>39</v>
      </c>
    </row>
    <row r="249" spans="1:2" ht="12.75" customHeight="1" x14ac:dyDescent="0.25">
      <c r="A249">
        <v>2045</v>
      </c>
      <c r="B249">
        <v>40</v>
      </c>
    </row>
    <row r="250" spans="1:2" ht="12.75" customHeight="1" x14ac:dyDescent="0.25">
      <c r="A250">
        <v>2046</v>
      </c>
      <c r="B250">
        <v>41</v>
      </c>
    </row>
    <row r="251" spans="1:2" ht="12.75" customHeight="1" x14ac:dyDescent="0.25">
      <c r="A251">
        <v>2047</v>
      </c>
      <c r="B251">
        <v>42</v>
      </c>
    </row>
    <row r="252" spans="1:2" ht="12.75" customHeight="1" x14ac:dyDescent="0.25">
      <c r="A252">
        <v>2048</v>
      </c>
      <c r="B252">
        <v>43</v>
      </c>
    </row>
    <row r="253" spans="1:2" ht="12.75" customHeight="1" x14ac:dyDescent="0.25">
      <c r="A253">
        <v>2049</v>
      </c>
      <c r="B253">
        <v>44</v>
      </c>
    </row>
    <row r="254" spans="1:2" ht="12.75" customHeight="1" x14ac:dyDescent="0.25">
      <c r="A254">
        <v>2050</v>
      </c>
      <c r="B254">
        <v>45</v>
      </c>
    </row>
    <row r="256" spans="1:2" ht="12.75" customHeight="1" x14ac:dyDescent="0.25">
      <c r="A256">
        <v>1.4</v>
      </c>
    </row>
    <row r="257" spans="1:9" ht="12.75" customHeight="1" x14ac:dyDescent="0.25">
      <c r="A257">
        <v>0.24</v>
      </c>
    </row>
    <row r="258" spans="1:9" ht="12.75" customHeight="1" x14ac:dyDescent="0.25">
      <c r="A258">
        <f>A256*A257</f>
        <v>0.33599999999999997</v>
      </c>
    </row>
    <row r="259" spans="1:9" ht="12.75" customHeight="1" x14ac:dyDescent="0.25">
      <c r="A259">
        <f>A256-A258</f>
        <v>1.0640000000000001</v>
      </c>
    </row>
    <row r="260" spans="1:9" ht="12.75" customHeight="1" x14ac:dyDescent="0.25">
      <c r="A260">
        <f>1-A257</f>
        <v>0.76</v>
      </c>
    </row>
    <row r="261" spans="1:9" ht="12.75" customHeight="1" x14ac:dyDescent="0.25">
      <c r="A261">
        <f>A259/1.4</f>
        <v>0.76000000000000012</v>
      </c>
    </row>
    <row r="262" spans="1:9" ht="12.75" customHeight="1" x14ac:dyDescent="0.25">
      <c r="A262">
        <v>1.35</v>
      </c>
    </row>
    <row r="263" spans="1:9" ht="12.75" customHeight="1" x14ac:dyDescent="0.25">
      <c r="A263">
        <v>1.88</v>
      </c>
    </row>
    <row r="264" spans="1:9" ht="12.75" customHeight="1" x14ac:dyDescent="0.25">
      <c r="A264">
        <f>A263/A262</f>
        <v>1.3925925925925924</v>
      </c>
    </row>
    <row r="265" spans="1:9" ht="12.75" customHeight="1" x14ac:dyDescent="0.25">
      <c r="A265">
        <v>1.25</v>
      </c>
      <c r="B265" t="s">
        <v>803</v>
      </c>
      <c r="C265" s="330" t="s">
        <v>802</v>
      </c>
    </row>
    <row r="266" spans="1:9" ht="12.75" customHeight="1" x14ac:dyDescent="0.25">
      <c r="A266">
        <f>A264/A265</f>
        <v>1.114074074074074</v>
      </c>
    </row>
    <row r="269" spans="1:9" ht="12.75" customHeight="1" x14ac:dyDescent="0.25">
      <c r="A269" t="s">
        <v>858</v>
      </c>
      <c r="B269" t="s">
        <v>859</v>
      </c>
      <c r="E269" t="s">
        <v>860</v>
      </c>
      <c r="F269" t="s">
        <v>861</v>
      </c>
    </row>
    <row r="270" spans="1:9" ht="12.75" customHeight="1" x14ac:dyDescent="0.25">
      <c r="B270" t="s">
        <v>862</v>
      </c>
      <c r="F270" t="s">
        <v>863</v>
      </c>
    </row>
    <row r="271" spans="1:9" ht="12.75" customHeight="1" x14ac:dyDescent="0.25">
      <c r="B271" t="s">
        <v>412</v>
      </c>
      <c r="C271" t="s">
        <v>88</v>
      </c>
      <c r="D271" t="s">
        <v>426</v>
      </c>
      <c r="F271" t="s">
        <v>864</v>
      </c>
      <c r="G271" t="s">
        <v>865</v>
      </c>
      <c r="H271">
        <v>29575</v>
      </c>
      <c r="I271">
        <v>44.201284868977176</v>
      </c>
    </row>
    <row r="272" spans="1:9" ht="12.75" customHeight="1" x14ac:dyDescent="0.25">
      <c r="B272" t="s">
        <v>431</v>
      </c>
      <c r="C272" t="s">
        <v>432</v>
      </c>
      <c r="D272">
        <v>13.204962409087498</v>
      </c>
      <c r="E272">
        <v>307278072.19218713</v>
      </c>
      <c r="F272" t="s">
        <v>866</v>
      </c>
      <c r="G272" t="s">
        <v>867</v>
      </c>
      <c r="H272">
        <v>1307253</v>
      </c>
    </row>
    <row r="273" spans="2:15" ht="12.75" customHeight="1" x14ac:dyDescent="0.25">
      <c r="B273" t="s">
        <v>434</v>
      </c>
      <c r="C273" t="s">
        <v>154</v>
      </c>
      <c r="D273">
        <v>0.7</v>
      </c>
      <c r="E273">
        <v>9.2434736863612486</v>
      </c>
    </row>
    <row r="274" spans="2:15" ht="12.75" customHeight="1" x14ac:dyDescent="0.25">
      <c r="B274" t="s">
        <v>436</v>
      </c>
      <c r="C274" t="s">
        <v>432</v>
      </c>
      <c r="D274">
        <v>9.2434736863612486</v>
      </c>
      <c r="E274">
        <v>4000000</v>
      </c>
      <c r="F274" t="s">
        <v>868</v>
      </c>
      <c r="G274" t="s">
        <v>214</v>
      </c>
      <c r="H274">
        <v>14788</v>
      </c>
    </row>
    <row r="275" spans="2:15" ht="12.75" customHeight="1" x14ac:dyDescent="0.25">
      <c r="B275" t="s">
        <v>438</v>
      </c>
      <c r="C275" t="s">
        <v>105</v>
      </c>
      <c r="D275">
        <v>30</v>
      </c>
      <c r="E275">
        <v>9243473.6863612477</v>
      </c>
      <c r="F275">
        <v>1.4285714285714286</v>
      </c>
      <c r="H275">
        <v>0.50001690617075234</v>
      </c>
    </row>
    <row r="276" spans="2:15" ht="12.75" customHeight="1" x14ac:dyDescent="0.25">
      <c r="B276" t="s">
        <v>440</v>
      </c>
      <c r="C276" t="s">
        <v>196</v>
      </c>
      <c r="D276">
        <v>308115.78954537492</v>
      </c>
      <c r="E276">
        <v>133333.33333333334</v>
      </c>
      <c r="F276">
        <v>0.71430986595821766</v>
      </c>
      <c r="G276" t="s">
        <v>869</v>
      </c>
    </row>
    <row r="277" spans="2:15" ht="12.75" customHeight="1" x14ac:dyDescent="0.25">
      <c r="B277" t="s">
        <v>442</v>
      </c>
      <c r="C277" t="s">
        <v>443</v>
      </c>
      <c r="D277">
        <v>135</v>
      </c>
      <c r="E277">
        <v>0.05</v>
      </c>
      <c r="F277" t="s">
        <v>875</v>
      </c>
      <c r="H277">
        <v>88.399580741141463</v>
      </c>
    </row>
    <row r="278" spans="2:15" ht="12.75" customHeight="1" x14ac:dyDescent="0.25">
      <c r="B278" t="s">
        <v>445</v>
      </c>
      <c r="C278" t="s">
        <v>214</v>
      </c>
      <c r="D278">
        <v>41595.63158862562</v>
      </c>
      <c r="E278">
        <v>15405.789477268747</v>
      </c>
      <c r="H278">
        <v>14788</v>
      </c>
    </row>
    <row r="279" spans="2:15" ht="12.75" customHeight="1" x14ac:dyDescent="0.25">
      <c r="B279" t="s">
        <v>449</v>
      </c>
      <c r="C279" t="s">
        <v>102</v>
      </c>
      <c r="D279">
        <v>500</v>
      </c>
      <c r="F279" t="s">
        <v>428</v>
      </c>
      <c r="G279" t="s">
        <v>870</v>
      </c>
      <c r="H279" t="s">
        <v>429</v>
      </c>
      <c r="I279" t="s">
        <v>363</v>
      </c>
      <c r="J279" t="s">
        <v>364</v>
      </c>
      <c r="K279" t="s">
        <v>365</v>
      </c>
      <c r="L279" t="s">
        <v>366</v>
      </c>
      <c r="M279" t="s">
        <v>367</v>
      </c>
      <c r="N279" t="s">
        <v>368</v>
      </c>
      <c r="O279" t="s">
        <v>430</v>
      </c>
    </row>
    <row r="280" spans="2:15" ht="12.75" customHeight="1" x14ac:dyDescent="0.25">
      <c r="B280" t="s">
        <v>871</v>
      </c>
      <c r="C280" t="s">
        <v>423</v>
      </c>
      <c r="D280">
        <v>20797815.794312809</v>
      </c>
      <c r="E280">
        <v>0.3</v>
      </c>
      <c r="F280" t="s">
        <v>433</v>
      </c>
      <c r="G280">
        <v>177385</v>
      </c>
      <c r="H280">
        <v>15</v>
      </c>
      <c r="I280">
        <v>2660775</v>
      </c>
      <c r="J280">
        <v>155</v>
      </c>
      <c r="K280">
        <v>412420125</v>
      </c>
      <c r="L280">
        <v>371178112.5</v>
      </c>
      <c r="M280">
        <v>1</v>
      </c>
      <c r="N280">
        <v>371178112.5</v>
      </c>
      <c r="O280">
        <v>222706867.5</v>
      </c>
    </row>
    <row r="281" spans="2:15" ht="12.75" customHeight="1" x14ac:dyDescent="0.25">
      <c r="B281" t="s">
        <v>877</v>
      </c>
      <c r="C281" t="s">
        <v>758</v>
      </c>
      <c r="D281" s="303">
        <v>6.7684021986784693E-2</v>
      </c>
      <c r="E281">
        <v>0.3</v>
      </c>
      <c r="F281" t="s">
        <v>435</v>
      </c>
      <c r="G281">
        <v>53917</v>
      </c>
      <c r="H281">
        <v>15</v>
      </c>
      <c r="I281">
        <v>808755</v>
      </c>
      <c r="J281">
        <v>155</v>
      </c>
      <c r="K281">
        <v>125357025</v>
      </c>
      <c r="L281">
        <v>112821322.5</v>
      </c>
      <c r="M281">
        <v>1</v>
      </c>
      <c r="N281">
        <v>112821322.5</v>
      </c>
      <c r="O281">
        <v>67692793.5</v>
      </c>
    </row>
    <row r="282" spans="2:15" ht="12.75" customHeight="1" x14ac:dyDescent="0.25">
      <c r="E282">
        <v>0.3</v>
      </c>
      <c r="F282" t="s">
        <v>437</v>
      </c>
      <c r="G282">
        <v>100000</v>
      </c>
      <c r="H282">
        <v>9</v>
      </c>
      <c r="I282">
        <v>900000</v>
      </c>
      <c r="J282">
        <v>119</v>
      </c>
      <c r="K282">
        <v>107100000</v>
      </c>
      <c r="L282">
        <v>96390000</v>
      </c>
      <c r="M282">
        <v>0.25</v>
      </c>
      <c r="N282">
        <v>24097500</v>
      </c>
      <c r="O282">
        <v>14458500</v>
      </c>
    </row>
    <row r="283" spans="2:15" ht="12.75" customHeight="1" x14ac:dyDescent="0.25">
      <c r="E283">
        <v>0.1</v>
      </c>
      <c r="F283" t="s">
        <v>439</v>
      </c>
      <c r="G283">
        <v>163135</v>
      </c>
      <c r="H283">
        <v>6.5000000000000002E-2</v>
      </c>
      <c r="I283">
        <v>0</v>
      </c>
      <c r="J283">
        <v>25</v>
      </c>
      <c r="K283">
        <v>96759446.875</v>
      </c>
      <c r="L283">
        <v>87083502.1875</v>
      </c>
      <c r="M283">
        <v>0.72</v>
      </c>
      <c r="N283">
        <v>62700121.574999996</v>
      </c>
      <c r="O283">
        <v>0</v>
      </c>
    </row>
    <row r="284" spans="2:15" ht="12.75" customHeight="1" x14ac:dyDescent="0.25">
      <c r="E284">
        <v>0.04</v>
      </c>
      <c r="F284" t="s">
        <v>441</v>
      </c>
      <c r="G284">
        <v>360990</v>
      </c>
      <c r="H284">
        <v>3.0000000000000001E-3</v>
      </c>
      <c r="I284">
        <v>0</v>
      </c>
      <c r="J284">
        <v>29.4</v>
      </c>
      <c r="K284">
        <v>11621351.069999998</v>
      </c>
      <c r="L284">
        <v>10459215.963</v>
      </c>
      <c r="M284">
        <v>0.65</v>
      </c>
      <c r="N284">
        <v>6798490.3759500002</v>
      </c>
      <c r="O284">
        <v>0</v>
      </c>
    </row>
    <row r="285" spans="2:15" ht="12.75" customHeight="1" x14ac:dyDescent="0.25">
      <c r="E285">
        <v>0.3</v>
      </c>
      <c r="F285" t="s">
        <v>872</v>
      </c>
      <c r="G285">
        <v>32124.136362500001</v>
      </c>
      <c r="H285">
        <v>8.3000000000000001E-3</v>
      </c>
      <c r="I285">
        <v>32124.136362500001</v>
      </c>
      <c r="J285">
        <v>155</v>
      </c>
      <c r="K285">
        <v>4979241.1361875003</v>
      </c>
      <c r="L285">
        <v>4481317.0225687502</v>
      </c>
      <c r="M285">
        <v>0.9</v>
      </c>
      <c r="N285">
        <v>4033185.3203118751</v>
      </c>
      <c r="O285">
        <v>2419911.1921871249</v>
      </c>
    </row>
    <row r="286" spans="2:15" ht="12.75" customHeight="1" x14ac:dyDescent="0.25">
      <c r="F286" t="s">
        <v>446</v>
      </c>
      <c r="G286">
        <v>331302</v>
      </c>
      <c r="I286" t="s">
        <v>447</v>
      </c>
      <c r="J286" t="s">
        <v>448</v>
      </c>
      <c r="O286">
        <v>307278072.19218713</v>
      </c>
    </row>
    <row r="287" spans="2:15" ht="12.75" customHeight="1" x14ac:dyDescent="0.25">
      <c r="E287">
        <v>2.9999999999999996</v>
      </c>
      <c r="F287" t="s">
        <v>433</v>
      </c>
      <c r="I287">
        <v>7982324.9999999991</v>
      </c>
    </row>
    <row r="288" spans="2:15" ht="12.75" customHeight="1" x14ac:dyDescent="0.25">
      <c r="E288">
        <v>0.39999999999999997</v>
      </c>
      <c r="F288" t="s">
        <v>435</v>
      </c>
      <c r="I288">
        <v>2426264.9999999995</v>
      </c>
    </row>
    <row r="289" spans="1:10" ht="12.75" customHeight="1" x14ac:dyDescent="0.25">
      <c r="D289">
        <v>3</v>
      </c>
      <c r="E289">
        <v>0.08</v>
      </c>
      <c r="F289" t="s">
        <v>437</v>
      </c>
      <c r="I289">
        <v>2699999.9999999995</v>
      </c>
    </row>
    <row r="290" spans="1:10" ht="12.75" customHeight="1" x14ac:dyDescent="0.25">
      <c r="E290">
        <v>1.25</v>
      </c>
      <c r="F290" t="s">
        <v>439</v>
      </c>
      <c r="I290">
        <v>0</v>
      </c>
    </row>
    <row r="291" spans="1:10" ht="12.75" customHeight="1" x14ac:dyDescent="0.25">
      <c r="F291" t="s">
        <v>441</v>
      </c>
      <c r="I291">
        <v>0</v>
      </c>
    </row>
    <row r="292" spans="1:10" ht="12.75" customHeight="1" x14ac:dyDescent="0.25">
      <c r="F292" t="s">
        <v>872</v>
      </c>
      <c r="I292">
        <v>96372.409087499997</v>
      </c>
    </row>
    <row r="293" spans="1:10" ht="12.75" customHeight="1" x14ac:dyDescent="0.25">
      <c r="H293" t="s">
        <v>328</v>
      </c>
      <c r="I293">
        <v>13204962.409087498</v>
      </c>
      <c r="J293">
        <v>4401654.1363624996</v>
      </c>
    </row>
    <row r="295" spans="1:10" ht="12.75" customHeight="1" x14ac:dyDescent="0.25">
      <c r="F295" t="s">
        <v>876</v>
      </c>
      <c r="H295">
        <v>0.7</v>
      </c>
      <c r="I295">
        <v>9243473.6863612477</v>
      </c>
    </row>
    <row r="296" spans="1:10" ht="12.75" customHeight="1" x14ac:dyDescent="0.25">
      <c r="F296" t="s">
        <v>873</v>
      </c>
    </row>
    <row r="297" spans="1:10" ht="12.75" customHeight="1" x14ac:dyDescent="0.25">
      <c r="F297" t="s">
        <v>874</v>
      </c>
    </row>
    <row r="299" spans="1:10" ht="12.75" customHeight="1" x14ac:dyDescent="0.3">
      <c r="A299" s="479"/>
      <c r="B299" s="480"/>
      <c r="C299" s="481" t="s">
        <v>926</v>
      </c>
      <c r="D299" s="480"/>
      <c r="E299" s="480"/>
      <c r="F299" s="480"/>
    </row>
    <row r="300" spans="1:10" ht="12.75" customHeight="1" x14ac:dyDescent="0.3">
      <c r="A300" s="482"/>
      <c r="B300" s="481">
        <v>2012</v>
      </c>
      <c r="C300" s="481">
        <v>2015</v>
      </c>
      <c r="D300" s="481">
        <v>2020</v>
      </c>
      <c r="E300" s="481">
        <v>2025</v>
      </c>
      <c r="F300" s="481">
        <v>2030</v>
      </c>
      <c r="G300" s="481">
        <v>2035</v>
      </c>
      <c r="H300" s="481">
        <v>2040</v>
      </c>
      <c r="I300" s="481">
        <v>2045</v>
      </c>
      <c r="J300" s="481">
        <v>2050</v>
      </c>
    </row>
    <row r="301" spans="1:10" ht="12.75" customHeight="1" x14ac:dyDescent="0.3">
      <c r="A301" s="482" t="s">
        <v>927</v>
      </c>
      <c r="B301" s="481">
        <v>109</v>
      </c>
      <c r="C301" s="481">
        <v>111</v>
      </c>
      <c r="D301" s="483">
        <v>113</v>
      </c>
      <c r="E301" s="483">
        <v>116</v>
      </c>
      <c r="F301" s="483">
        <v>121</v>
      </c>
      <c r="G301" s="483">
        <v>128</v>
      </c>
      <c r="H301" s="479"/>
      <c r="I301" s="479"/>
      <c r="J301" s="479"/>
    </row>
    <row r="302" spans="1:10" ht="12.75" customHeight="1" x14ac:dyDescent="0.3">
      <c r="A302" s="482" t="s">
        <v>928</v>
      </c>
      <c r="B302" s="484">
        <v>100</v>
      </c>
      <c r="C302" s="485">
        <v>101.8</v>
      </c>
      <c r="D302" s="485" t="s">
        <v>929</v>
      </c>
      <c r="E302" s="485" t="s">
        <v>930</v>
      </c>
      <c r="F302" s="485" t="s">
        <v>931</v>
      </c>
      <c r="G302" s="485" t="s">
        <v>932</v>
      </c>
      <c r="H302" s="486">
        <v>1058</v>
      </c>
      <c r="I302" s="487">
        <v>1058</v>
      </c>
      <c r="J302" s="487">
        <v>1058</v>
      </c>
    </row>
    <row r="303" spans="1:10" ht="12.75" customHeight="1" x14ac:dyDescent="0.3">
      <c r="A303" s="482" t="s">
        <v>933</v>
      </c>
      <c r="B303" s="484"/>
      <c r="C303" s="485">
        <v>100.9</v>
      </c>
      <c r="D303" s="485" t="s">
        <v>934</v>
      </c>
      <c r="E303" s="485" t="s">
        <v>935</v>
      </c>
      <c r="F303" s="485" t="s">
        <v>936</v>
      </c>
      <c r="G303" s="485" t="s">
        <v>937</v>
      </c>
      <c r="H303" s="488">
        <v>1032</v>
      </c>
      <c r="I303" s="488">
        <v>1032</v>
      </c>
      <c r="J303" s="488">
        <v>1032</v>
      </c>
    </row>
    <row r="304" spans="1:10" ht="12.75" customHeight="1" x14ac:dyDescent="0.25">
      <c r="A304" s="479" t="s">
        <v>938</v>
      </c>
      <c r="B304" s="482">
        <v>17694</v>
      </c>
      <c r="C304" s="482">
        <v>18019</v>
      </c>
      <c r="D304" s="482">
        <v>18344</v>
      </c>
      <c r="E304" s="482">
        <v>18831</v>
      </c>
      <c r="F304" s="482">
        <v>19642</v>
      </c>
      <c r="G304" s="482">
        <v>20779</v>
      </c>
      <c r="H304" s="482">
        <v>21984</v>
      </c>
      <c r="I304" s="482">
        <v>23259</v>
      </c>
      <c r="J304" s="482">
        <v>24608</v>
      </c>
    </row>
    <row r="305" spans="1:10" ht="12.75" customHeight="1" x14ac:dyDescent="0.25">
      <c r="A305" s="479" t="s">
        <v>939</v>
      </c>
      <c r="B305" s="482">
        <v>18626</v>
      </c>
      <c r="C305" s="482">
        <v>18967</v>
      </c>
      <c r="D305" s="482">
        <v>19309</v>
      </c>
      <c r="E305" s="482">
        <v>19822</v>
      </c>
      <c r="F305" s="482">
        <v>20676</v>
      </c>
      <c r="G305" s="482">
        <v>21872</v>
      </c>
      <c r="H305" s="482">
        <v>23141</v>
      </c>
      <c r="I305" s="482">
        <v>24483</v>
      </c>
      <c r="J305" s="482">
        <v>25903</v>
      </c>
    </row>
    <row r="306" spans="1:10" ht="12.75" customHeight="1" x14ac:dyDescent="0.25">
      <c r="A306" s="479" t="s">
        <v>940</v>
      </c>
      <c r="B306" s="482">
        <v>31000</v>
      </c>
      <c r="C306" s="482">
        <v>31569</v>
      </c>
      <c r="D306" s="482">
        <v>22538</v>
      </c>
      <c r="E306" s="482">
        <v>23391</v>
      </c>
      <c r="F306" s="482">
        <v>24813</v>
      </c>
      <c r="G306" s="482">
        <v>26804</v>
      </c>
      <c r="H306" s="482">
        <v>28358</v>
      </c>
      <c r="I306" s="482">
        <v>30003</v>
      </c>
      <c r="J306" s="482">
        <v>31743</v>
      </c>
    </row>
    <row r="307" spans="1:10" ht="12.75" customHeight="1" x14ac:dyDescent="0.25">
      <c r="A307" s="479" t="s">
        <v>941</v>
      </c>
      <c r="B307" s="497">
        <v>33765</v>
      </c>
      <c r="C307" s="497">
        <v>34054</v>
      </c>
      <c r="D307" s="497">
        <v>24742</v>
      </c>
      <c r="E307" s="497">
        <v>25031</v>
      </c>
      <c r="F307" s="497">
        <v>25897</v>
      </c>
      <c r="G307" s="497">
        <v>27051</v>
      </c>
      <c r="H307" s="497">
        <v>28620</v>
      </c>
      <c r="I307" s="497">
        <v>30280</v>
      </c>
      <c r="J307" s="497">
        <v>32036</v>
      </c>
    </row>
    <row r="308" spans="1:10" ht="12.75" customHeight="1" x14ac:dyDescent="0.25">
      <c r="A308" s="479" t="s">
        <v>942</v>
      </c>
      <c r="B308" s="482">
        <v>28900</v>
      </c>
      <c r="C308" s="482">
        <v>29147</v>
      </c>
      <c r="D308" s="482">
        <v>29394</v>
      </c>
      <c r="E308" s="482">
        <v>29641</v>
      </c>
      <c r="F308" s="482">
        <v>30382</v>
      </c>
      <c r="G308" s="482">
        <v>31370</v>
      </c>
      <c r="H308" s="482">
        <v>32374</v>
      </c>
      <c r="I308" s="482">
        <v>33410</v>
      </c>
      <c r="J308" s="482">
        <v>34479</v>
      </c>
    </row>
    <row r="309" spans="1:10" ht="12.75" customHeight="1" x14ac:dyDescent="0.25">
      <c r="A309" s="479" t="s">
        <v>943</v>
      </c>
      <c r="B309" s="482">
        <v>17310</v>
      </c>
      <c r="C309" s="482">
        <v>17458</v>
      </c>
      <c r="D309" s="482">
        <v>17606</v>
      </c>
      <c r="E309" s="482">
        <v>17754</v>
      </c>
      <c r="F309" s="482">
        <v>18198</v>
      </c>
      <c r="G309" s="482">
        <v>18789</v>
      </c>
      <c r="H309" s="482">
        <v>19391</v>
      </c>
      <c r="I309" s="482">
        <v>20011</v>
      </c>
      <c r="J309" s="482">
        <v>20652</v>
      </c>
    </row>
    <row r="310" spans="1:10" ht="12.75" customHeight="1" x14ac:dyDescent="0.25">
      <c r="A310" s="479" t="s">
        <v>276</v>
      </c>
      <c r="B310" s="482">
        <v>23494</v>
      </c>
      <c r="C310" s="482"/>
      <c r="D310" s="482">
        <v>20267</v>
      </c>
      <c r="E310" s="482">
        <v>19849</v>
      </c>
      <c r="F310" s="482">
        <v>19739</v>
      </c>
      <c r="G310" s="482">
        <v>24272</v>
      </c>
      <c r="H310" s="482">
        <v>25014</v>
      </c>
      <c r="I310" s="482">
        <v>25541</v>
      </c>
      <c r="J310" s="482">
        <v>21330</v>
      </c>
    </row>
    <row r="311" spans="1:10" ht="12.75" customHeight="1" x14ac:dyDescent="0.25">
      <c r="A311" s="479" t="s">
        <v>944</v>
      </c>
      <c r="B311" s="482"/>
      <c r="C311" s="482"/>
      <c r="D311" s="482">
        <v>28900</v>
      </c>
      <c r="E311" s="482">
        <v>28900</v>
      </c>
      <c r="F311" s="482">
        <v>28900</v>
      </c>
      <c r="G311" s="482">
        <v>28900</v>
      </c>
      <c r="H311" s="482">
        <v>28900</v>
      </c>
      <c r="I311" s="482">
        <v>28900</v>
      </c>
      <c r="J311" s="482">
        <v>28900</v>
      </c>
    </row>
    <row r="312" spans="1:10" ht="12.75" customHeight="1" x14ac:dyDescent="0.3">
      <c r="A312" s="482"/>
      <c r="B312" s="481">
        <v>2012</v>
      </c>
      <c r="C312" s="481">
        <v>2015</v>
      </c>
      <c r="D312" s="481">
        <v>2020</v>
      </c>
      <c r="E312" s="481">
        <v>2025</v>
      </c>
      <c r="F312" s="481">
        <v>2030</v>
      </c>
      <c r="G312" s="481">
        <v>2035</v>
      </c>
      <c r="H312" s="481">
        <v>2040</v>
      </c>
      <c r="I312" s="481">
        <v>2045</v>
      </c>
      <c r="J312" s="481">
        <v>2050</v>
      </c>
    </row>
    <row r="313" spans="1:10" ht="12.75" customHeight="1" x14ac:dyDescent="0.3">
      <c r="A313" s="480"/>
      <c r="B313" s="482">
        <v>100</v>
      </c>
      <c r="C313" s="482">
        <v>100</v>
      </c>
      <c r="D313" s="482">
        <v>100</v>
      </c>
      <c r="E313" s="482">
        <v>100</v>
      </c>
      <c r="F313" s="482">
        <v>100</v>
      </c>
      <c r="G313" s="482">
        <v>100</v>
      </c>
      <c r="H313" s="482">
        <v>100</v>
      </c>
      <c r="I313" s="482">
        <v>100</v>
      </c>
      <c r="J313" s="482">
        <v>100</v>
      </c>
    </row>
    <row r="314" spans="1:10" ht="12.75" customHeight="1" x14ac:dyDescent="0.25">
      <c r="A314" s="479" t="s">
        <v>938</v>
      </c>
      <c r="B314" s="482">
        <v>10285</v>
      </c>
      <c r="C314" s="482">
        <v>10285</v>
      </c>
      <c r="D314" s="482">
        <v>11672</v>
      </c>
      <c r="E314" s="482">
        <v>11672</v>
      </c>
      <c r="F314" s="482">
        <v>11672</v>
      </c>
      <c r="G314" s="482">
        <v>11672</v>
      </c>
      <c r="H314" s="482">
        <v>11672</v>
      </c>
      <c r="I314" s="482">
        <v>11672</v>
      </c>
      <c r="J314" s="482">
        <v>11672</v>
      </c>
    </row>
    <row r="315" spans="1:10" ht="12.75" customHeight="1" x14ac:dyDescent="0.25">
      <c r="A315" s="479" t="s">
        <v>939</v>
      </c>
      <c r="B315" s="482">
        <v>12544</v>
      </c>
      <c r="C315" s="482">
        <v>12544</v>
      </c>
      <c r="D315" s="482">
        <v>11532</v>
      </c>
      <c r="E315" s="482">
        <v>11532</v>
      </c>
      <c r="F315" s="482">
        <v>11532</v>
      </c>
      <c r="G315" s="482">
        <v>11532</v>
      </c>
      <c r="H315" s="482">
        <v>11532</v>
      </c>
      <c r="I315" s="482">
        <v>11532</v>
      </c>
      <c r="J315" s="482">
        <v>11532</v>
      </c>
    </row>
    <row r="316" spans="1:10" ht="12.75" customHeight="1" x14ac:dyDescent="0.25">
      <c r="A316" s="479" t="s">
        <v>945</v>
      </c>
      <c r="B316" s="489">
        <v>1</v>
      </c>
      <c r="C316" s="489">
        <v>1</v>
      </c>
      <c r="D316" s="479" t="s">
        <v>946</v>
      </c>
      <c r="E316" s="482"/>
      <c r="F316" s="479"/>
    </row>
    <row r="317" spans="1:10" ht="12.75" customHeight="1" x14ac:dyDescent="0.25">
      <c r="A317" s="479" t="s">
        <v>940</v>
      </c>
      <c r="B317" s="482">
        <v>10285</v>
      </c>
      <c r="C317" s="482">
        <v>10285</v>
      </c>
      <c r="D317" s="482">
        <v>9600</v>
      </c>
      <c r="E317" s="482">
        <v>9600</v>
      </c>
      <c r="F317" s="482">
        <v>9600</v>
      </c>
      <c r="G317" s="482">
        <v>9600</v>
      </c>
      <c r="H317" s="482">
        <v>9600</v>
      </c>
      <c r="I317" s="482">
        <v>9600</v>
      </c>
      <c r="J317" s="482">
        <v>9600</v>
      </c>
    </row>
    <row r="318" spans="1:10" ht="12.75" customHeight="1" x14ac:dyDescent="0.25">
      <c r="A318" s="479" t="s">
        <v>941</v>
      </c>
      <c r="B318" s="482">
        <v>12544</v>
      </c>
      <c r="C318" s="482">
        <v>12544</v>
      </c>
      <c r="D318" s="482">
        <v>9600</v>
      </c>
      <c r="E318" s="482">
        <v>9600</v>
      </c>
      <c r="F318" s="482">
        <v>9600</v>
      </c>
      <c r="G318" s="482">
        <v>9600</v>
      </c>
      <c r="H318" s="482">
        <v>9600</v>
      </c>
      <c r="I318" s="482">
        <v>9600</v>
      </c>
      <c r="J318" s="482">
        <v>9600</v>
      </c>
    </row>
    <row r="319" spans="1:10" ht="12.75" customHeight="1" x14ac:dyDescent="0.25">
      <c r="A319" s="479" t="s">
        <v>942</v>
      </c>
      <c r="B319" s="482">
        <v>0</v>
      </c>
      <c r="C319" s="482">
        <v>0</v>
      </c>
      <c r="D319" s="482">
        <v>0</v>
      </c>
      <c r="E319" s="482">
        <v>0</v>
      </c>
      <c r="F319" s="482">
        <v>0</v>
      </c>
      <c r="G319" s="482">
        <v>0</v>
      </c>
      <c r="H319" s="482">
        <v>0</v>
      </c>
      <c r="I319" s="482">
        <v>0</v>
      </c>
      <c r="J319" s="482">
        <v>0</v>
      </c>
    </row>
    <row r="320" spans="1:10" ht="12.75" customHeight="1" x14ac:dyDescent="0.25">
      <c r="A320" s="479" t="s">
        <v>279</v>
      </c>
      <c r="B320" s="482">
        <v>0</v>
      </c>
      <c r="C320" s="482">
        <v>0</v>
      </c>
      <c r="D320" s="482">
        <v>0</v>
      </c>
      <c r="E320" s="482">
        <v>10720</v>
      </c>
      <c r="F320" s="482">
        <v>10720</v>
      </c>
      <c r="G320" s="482">
        <v>10720</v>
      </c>
      <c r="H320" s="482">
        <v>10720</v>
      </c>
      <c r="I320" s="482">
        <v>10720</v>
      </c>
      <c r="J320" s="482">
        <v>10720</v>
      </c>
    </row>
    <row r="321" spans="1:7" ht="12.75" customHeight="1" x14ac:dyDescent="0.25">
      <c r="A321" s="479" t="s">
        <v>276</v>
      </c>
      <c r="B321" s="490">
        <v>1242</v>
      </c>
      <c r="C321" s="490">
        <v>1242</v>
      </c>
      <c r="D321" s="490">
        <v>1242</v>
      </c>
      <c r="E321" s="490">
        <v>1242</v>
      </c>
      <c r="F321" s="490">
        <v>1242</v>
      </c>
      <c r="G321" s="490">
        <v>12</v>
      </c>
    </row>
    <row r="322" spans="1:7" ht="12.75" customHeight="1" x14ac:dyDescent="0.25">
      <c r="B322">
        <f>B308/C308*100</f>
        <v>99.152571448176488</v>
      </c>
      <c r="C322">
        <f>B308*C302</f>
        <v>2942020</v>
      </c>
    </row>
    <row r="323" spans="1:7" ht="12.75" customHeight="1" x14ac:dyDescent="0.25">
      <c r="C323">
        <f>B308*C303</f>
        <v>2916010</v>
      </c>
    </row>
    <row r="324" spans="1:7" ht="12.75" customHeight="1" x14ac:dyDescent="0.25">
      <c r="C324">
        <f>C308/B308</f>
        <v>1.0085467128027681</v>
      </c>
    </row>
  </sheetData>
  <mergeCells count="1">
    <mergeCell ref="A103:D103"/>
  </mergeCells>
  <hyperlinks>
    <hyperlink ref="C265" r:id="rId1" location="EU_countries"/>
  </hyperlinks>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46"/>
  <sheetViews>
    <sheetView topLeftCell="A93" zoomScaleNormal="100" zoomScalePageLayoutView="125" workbookViewId="0">
      <selection activeCell="L45" sqref="L45"/>
    </sheetView>
  </sheetViews>
  <sheetFormatPr defaultColWidth="17.109375" defaultRowHeight="12.75" customHeight="1" outlineLevelRow="1" x14ac:dyDescent="0.25"/>
  <cols>
    <col min="1" max="1" width="12" style="274" customWidth="1"/>
    <col min="2" max="2" width="37.33203125" style="97" customWidth="1"/>
    <col min="3" max="3" width="10.77734375" style="97" customWidth="1"/>
    <col min="4" max="4" width="9.109375" style="97" customWidth="1"/>
    <col min="5" max="5" width="8.44140625" style="97" customWidth="1"/>
    <col min="6" max="6" width="9.109375" style="97" customWidth="1"/>
    <col min="7" max="7" width="8.77734375" style="198" customWidth="1"/>
    <col min="8" max="8" width="8.44140625" style="731" customWidth="1"/>
    <col min="9" max="10" width="8.44140625" style="97" customWidth="1"/>
    <col min="11" max="11" width="8.33203125" style="97" customWidth="1"/>
    <col min="12" max="12" width="10.109375" style="97" customWidth="1"/>
    <col min="13" max="13" width="31.44140625" style="98" customWidth="1"/>
    <col min="14" max="16384" width="17.109375" style="97"/>
  </cols>
  <sheetData>
    <row r="1" spans="1:25" ht="12.75" customHeight="1" x14ac:dyDescent="0.25">
      <c r="C1" s="252" t="s">
        <v>810</v>
      </c>
      <c r="D1" s="351">
        <f>D2/D3</f>
        <v>1</v>
      </c>
      <c r="E1" s="352">
        <f t="shared" ref="E1:L1" si="0">E2/E3</f>
        <v>0.89812771089362486</v>
      </c>
      <c r="F1" s="352">
        <f t="shared" si="0"/>
        <v>0.34766233970075799</v>
      </c>
      <c r="G1" s="357">
        <f t="shared" si="0"/>
        <v>0.55141390427343806</v>
      </c>
      <c r="H1" s="726">
        <f t="shared" si="0"/>
        <v>0.63375627017398373</v>
      </c>
      <c r="I1" s="352">
        <f t="shared" si="0"/>
        <v>0.53138655912978516</v>
      </c>
      <c r="J1" s="352">
        <f t="shared" si="0"/>
        <v>0.46961122352504125</v>
      </c>
      <c r="K1" s="352">
        <f t="shared" si="0"/>
        <v>0.42435163075343513</v>
      </c>
      <c r="L1" s="352">
        <f t="shared" si="0"/>
        <v>0.37117091097213867</v>
      </c>
      <c r="M1" s="252" t="s">
        <v>793</v>
      </c>
    </row>
    <row r="2" spans="1:25" ht="25.5" customHeight="1" x14ac:dyDescent="0.3">
      <c r="A2" s="316" t="s">
        <v>118</v>
      </c>
      <c r="B2" s="317"/>
      <c r="C2" s="455" t="s">
        <v>799</v>
      </c>
      <c r="D2" s="456">
        <v>1</v>
      </c>
      <c r="E2" s="457">
        <f>E18/$D$11/$D$10</f>
        <v>26.943831326808745</v>
      </c>
      <c r="F2" s="457">
        <f t="shared" ref="F2:L2" si="1">F18/$D$11/$D$10</f>
        <v>53.88766265361749</v>
      </c>
      <c r="G2" s="458">
        <f t="shared" si="1"/>
        <v>110.2827808546876</v>
      </c>
      <c r="H2" s="727">
        <f t="shared" si="1"/>
        <v>166.67789905575771</v>
      </c>
      <c r="I2" s="457">
        <f t="shared" si="1"/>
        <v>159.41596773893556</v>
      </c>
      <c r="J2" s="457">
        <f t="shared" si="1"/>
        <v>152.15403642211336</v>
      </c>
      <c r="K2" s="457">
        <f t="shared" si="1"/>
        <v>148.52307076370229</v>
      </c>
      <c r="L2" s="457">
        <f t="shared" si="1"/>
        <v>137.63017378846902</v>
      </c>
      <c r="M2" s="308" t="s">
        <v>792</v>
      </c>
    </row>
    <row r="3" spans="1:25" ht="25.95" customHeight="1" x14ac:dyDescent="0.25">
      <c r="A3" s="274" t="s">
        <v>7</v>
      </c>
      <c r="B3" s="101" t="s">
        <v>216</v>
      </c>
      <c r="C3" s="336" t="s">
        <v>798</v>
      </c>
      <c r="D3" s="459">
        <v>1</v>
      </c>
      <c r="E3" s="460">
        <v>30</v>
      </c>
      <c r="F3" s="460">
        <v>155</v>
      </c>
      <c r="G3" s="461">
        <v>200</v>
      </c>
      <c r="H3" s="940">
        <v>263</v>
      </c>
      <c r="I3" s="460">
        <v>300</v>
      </c>
      <c r="J3" s="460">
        <v>324</v>
      </c>
      <c r="K3" s="460">
        <v>350</v>
      </c>
      <c r="L3" s="460">
        <v>370.8</v>
      </c>
      <c r="M3" s="97">
        <v>133</v>
      </c>
      <c r="N3" s="97">
        <f>H3-M3</f>
        <v>130</v>
      </c>
    </row>
    <row r="4" spans="1:25" ht="12.75" customHeight="1" x14ac:dyDescent="0.25">
      <c r="A4" s="274" t="s">
        <v>7</v>
      </c>
      <c r="B4" s="270" t="s">
        <v>217</v>
      </c>
      <c r="C4" s="341" t="s">
        <v>78</v>
      </c>
      <c r="D4" s="462">
        <v>1</v>
      </c>
      <c r="E4" s="463">
        <f t="shared" ref="E4" si="2">E3-D3</f>
        <v>29</v>
      </c>
      <c r="F4" s="463">
        <f t="shared" ref="F4:L4" si="3">(F3-E3)/5</f>
        <v>25</v>
      </c>
      <c r="G4" s="464">
        <f t="shared" si="3"/>
        <v>9</v>
      </c>
      <c r="H4" s="728">
        <f t="shared" si="3"/>
        <v>12.6</v>
      </c>
      <c r="I4" s="463">
        <f t="shared" si="3"/>
        <v>7.4</v>
      </c>
      <c r="J4" s="463">
        <f t="shared" si="3"/>
        <v>4.8</v>
      </c>
      <c r="K4" s="463">
        <f t="shared" si="3"/>
        <v>5.2</v>
      </c>
      <c r="L4" s="463">
        <f t="shared" si="3"/>
        <v>4.1600000000000019</v>
      </c>
      <c r="M4" s="780">
        <f>H3/L3</f>
        <v>0.70927723840345203</v>
      </c>
      <c r="N4" s="97">
        <f>SUM(D4:M4)</f>
        <v>98.869277238403455</v>
      </c>
    </row>
    <row r="5" spans="1:25" s="454" customFormat="1" ht="12.75" customHeight="1" x14ac:dyDescent="0.25">
      <c r="B5" s="453"/>
      <c r="C5" s="465" t="s">
        <v>602</v>
      </c>
      <c r="D5" s="466">
        <f>D3-D2</f>
        <v>0</v>
      </c>
      <c r="E5" s="466">
        <f t="shared" ref="E5:L5" si="4">E3-E2</f>
        <v>3.0561686731912552</v>
      </c>
      <c r="F5" s="466">
        <f t="shared" si="4"/>
        <v>101.1123373463825</v>
      </c>
      <c r="G5" s="466">
        <f t="shared" si="4"/>
        <v>89.717219145312399</v>
      </c>
      <c r="H5" s="729">
        <f t="shared" si="4"/>
        <v>96.322100944242294</v>
      </c>
      <c r="I5" s="466">
        <f t="shared" si="4"/>
        <v>140.58403226106444</v>
      </c>
      <c r="J5" s="466">
        <f t="shared" si="4"/>
        <v>171.84596357788664</v>
      </c>
      <c r="K5" s="466">
        <f t="shared" si="4"/>
        <v>201.47692923629771</v>
      </c>
      <c r="L5" s="466">
        <f t="shared" si="4"/>
        <v>233.16982621153099</v>
      </c>
      <c r="M5" s="453"/>
    </row>
    <row r="6" spans="1:25" ht="13.95" customHeight="1" x14ac:dyDescent="0.25">
      <c r="C6" s="97" t="s">
        <v>143</v>
      </c>
      <c r="D6" s="106">
        <v>2010</v>
      </c>
      <c r="E6" s="321">
        <v>2015</v>
      </c>
      <c r="F6" s="321">
        <v>2020</v>
      </c>
      <c r="G6" s="358">
        <v>2025</v>
      </c>
      <c r="H6" s="730">
        <v>2030</v>
      </c>
      <c r="I6" s="321">
        <v>2035</v>
      </c>
      <c r="J6" s="321">
        <v>2040</v>
      </c>
      <c r="K6" s="321">
        <v>2045</v>
      </c>
      <c r="L6" s="321">
        <v>2050</v>
      </c>
      <c r="M6" s="102"/>
    </row>
    <row r="7" spans="1:25" ht="12.75" customHeight="1" x14ac:dyDescent="0.25">
      <c r="B7" s="261" t="s">
        <v>1175</v>
      </c>
      <c r="C7" s="97" t="s">
        <v>65</v>
      </c>
      <c r="D7" s="107">
        <f>D18+D25</f>
        <v>36</v>
      </c>
      <c r="E7" s="107">
        <f t="shared" ref="E7:L7" si="5">E18+E25</f>
        <v>1080</v>
      </c>
      <c r="F7" s="107">
        <f t="shared" si="5"/>
        <v>5580</v>
      </c>
      <c r="G7" s="107">
        <f t="shared" si="5"/>
        <v>7200</v>
      </c>
      <c r="H7" s="107">
        <f t="shared" si="5"/>
        <v>9468</v>
      </c>
      <c r="I7" s="107">
        <f t="shared" si="5"/>
        <v>10800</v>
      </c>
      <c r="J7" s="107">
        <f t="shared" si="5"/>
        <v>11664</v>
      </c>
      <c r="K7" s="107">
        <f t="shared" si="5"/>
        <v>12600</v>
      </c>
      <c r="L7" s="107">
        <f t="shared" si="5"/>
        <v>13348.800000000001</v>
      </c>
    </row>
    <row r="8" spans="1:25" ht="12.75" customHeight="1" x14ac:dyDescent="0.25">
      <c r="B8" s="154"/>
      <c r="C8" s="97" t="s">
        <v>16</v>
      </c>
      <c r="D8" s="107">
        <f>D19+D26</f>
        <v>0.85982399999999992</v>
      </c>
      <c r="E8" s="107">
        <f t="shared" ref="E8:L8" si="6">E19+E26</f>
        <v>25.827767173257993</v>
      </c>
      <c r="F8" s="107">
        <f t="shared" si="6"/>
        <v>133.23881434651599</v>
      </c>
      <c r="G8" s="107">
        <f t="shared" si="6"/>
        <v>170.1410182343991</v>
      </c>
      <c r="H8" s="107">
        <f t="shared" si="6"/>
        <v>222.52005412228218</v>
      </c>
      <c r="I8" s="107">
        <f t="shared" si="6"/>
        <v>255.77752495483747</v>
      </c>
      <c r="J8" s="107">
        <f t="shared" si="6"/>
        <v>277.95728378739278</v>
      </c>
      <c r="K8" s="107">
        <f t="shared" si="6"/>
        <v>301.03469920367041</v>
      </c>
      <c r="L8" s="107">
        <f t="shared" si="6"/>
        <v>321.18501265250342</v>
      </c>
    </row>
    <row r="9" spans="1:25" ht="69" customHeight="1" outlineLevel="1" x14ac:dyDescent="0.25">
      <c r="C9" s="97" t="s">
        <v>7</v>
      </c>
      <c r="D9" s="97" t="s">
        <v>134</v>
      </c>
      <c r="E9" s="97" t="s">
        <v>135</v>
      </c>
      <c r="F9" s="97" t="s">
        <v>136</v>
      </c>
      <c r="G9" s="198" t="s">
        <v>137</v>
      </c>
    </row>
    <row r="10" spans="1:25" ht="12.75" customHeight="1" outlineLevel="1" x14ac:dyDescent="0.25">
      <c r="D10" s="97">
        <v>3.6</v>
      </c>
      <c r="E10" s="97">
        <v>2.3883999999999999E-2</v>
      </c>
      <c r="F10" s="97">
        <v>10</v>
      </c>
    </row>
    <row r="11" spans="1:25" ht="12.75" customHeight="1" outlineLevel="1" x14ac:dyDescent="0.25">
      <c r="A11" s="274" t="s">
        <v>800</v>
      </c>
      <c r="B11" s="97" t="s">
        <v>146</v>
      </c>
      <c r="C11" s="97" t="s">
        <v>147</v>
      </c>
      <c r="D11" s="162">
        <f t="shared" ref="D11:L11" si="7">D3*$F$10</f>
        <v>10</v>
      </c>
      <c r="E11" s="162">
        <f t="shared" si="7"/>
        <v>300</v>
      </c>
      <c r="F11" s="162">
        <f t="shared" si="7"/>
        <v>1550</v>
      </c>
      <c r="G11" s="359">
        <f t="shared" si="7"/>
        <v>2000</v>
      </c>
      <c r="H11" s="732">
        <f t="shared" si="7"/>
        <v>2630</v>
      </c>
      <c r="I11" s="162">
        <f t="shared" si="7"/>
        <v>3000</v>
      </c>
      <c r="J11" s="162">
        <f t="shared" si="7"/>
        <v>3240</v>
      </c>
      <c r="K11" s="162">
        <f t="shared" si="7"/>
        <v>3500</v>
      </c>
      <c r="L11" s="162">
        <f t="shared" si="7"/>
        <v>3708</v>
      </c>
      <c r="M11" s="108"/>
      <c r="T11" s="97">
        <v>2000</v>
      </c>
      <c r="U11" s="97">
        <v>2630</v>
      </c>
      <c r="V11" s="97">
        <v>3000</v>
      </c>
      <c r="W11" s="97">
        <v>3240</v>
      </c>
      <c r="X11" s="97">
        <v>3500</v>
      </c>
      <c r="Y11" s="97">
        <v>3708</v>
      </c>
    </row>
    <row r="12" spans="1:25" s="298" customFormat="1" ht="12.75" customHeight="1" outlineLevel="1" x14ac:dyDescent="0.25">
      <c r="A12" s="297"/>
      <c r="B12" s="298" t="s">
        <v>146</v>
      </c>
      <c r="C12" s="299" t="s">
        <v>65</v>
      </c>
      <c r="D12" s="300">
        <f>D11*$D$10</f>
        <v>36</v>
      </c>
      <c r="E12" s="300">
        <f>E11*D10</f>
        <v>1080</v>
      </c>
      <c r="F12" s="300">
        <f>F11*$D$10</f>
        <v>5580</v>
      </c>
      <c r="G12" s="359">
        <f t="shared" ref="G12:L12" si="8">G11*$D$10</f>
        <v>7200</v>
      </c>
      <c r="H12" s="732">
        <f t="shared" si="8"/>
        <v>9468</v>
      </c>
      <c r="I12" s="300">
        <f t="shared" si="8"/>
        <v>10800</v>
      </c>
      <c r="J12" s="300">
        <f t="shared" si="8"/>
        <v>11664</v>
      </c>
      <c r="K12" s="300">
        <f t="shared" si="8"/>
        <v>12600</v>
      </c>
      <c r="L12" s="300">
        <f t="shared" si="8"/>
        <v>13348.800000000001</v>
      </c>
      <c r="M12" s="301"/>
      <c r="T12" s="298">
        <v>2000</v>
      </c>
      <c r="U12" s="298">
        <v>2630</v>
      </c>
      <c r="V12" s="298">
        <v>3000</v>
      </c>
      <c r="W12" s="298">
        <v>3240</v>
      </c>
      <c r="X12" s="298">
        <v>3500</v>
      </c>
      <c r="Y12" s="298">
        <v>3708</v>
      </c>
    </row>
    <row r="13" spans="1:25" ht="12.75" customHeight="1" outlineLevel="1" x14ac:dyDescent="0.25">
      <c r="B13" s="97" t="s">
        <v>218</v>
      </c>
      <c r="C13" s="104" t="s">
        <v>65</v>
      </c>
      <c r="D13" s="97">
        <f t="shared" ref="D13:L13" si="9">(D4*10)*$D$10</f>
        <v>36</v>
      </c>
      <c r="E13" s="112">
        <f t="shared" si="9"/>
        <v>1044</v>
      </c>
      <c r="F13" s="112">
        <f t="shared" si="9"/>
        <v>900</v>
      </c>
      <c r="G13" s="360">
        <f t="shared" si="9"/>
        <v>324</v>
      </c>
      <c r="H13" s="733">
        <f t="shared" si="9"/>
        <v>453.6</v>
      </c>
      <c r="I13" s="112">
        <f t="shared" si="9"/>
        <v>266.40000000000003</v>
      </c>
      <c r="J13" s="112">
        <f t="shared" si="9"/>
        <v>172.8</v>
      </c>
      <c r="K13" s="112">
        <f t="shared" si="9"/>
        <v>187.20000000000002</v>
      </c>
      <c r="L13" s="112">
        <f t="shared" si="9"/>
        <v>149.76000000000008</v>
      </c>
      <c r="M13" s="113"/>
      <c r="N13" s="97">
        <f>SUM(D13:L13)</f>
        <v>3533.76</v>
      </c>
    </row>
    <row r="14" spans="1:25" ht="13.2" outlineLevel="1" x14ac:dyDescent="0.25">
      <c r="C14" s="114"/>
      <c r="E14" s="112"/>
      <c r="F14" s="112"/>
      <c r="G14" s="360"/>
      <c r="H14" s="733"/>
      <c r="I14" s="112"/>
      <c r="J14" s="112"/>
      <c r="K14" s="112"/>
      <c r="L14" s="112"/>
      <c r="M14" s="113"/>
    </row>
    <row r="15" spans="1:25" ht="13.2" outlineLevel="1" x14ac:dyDescent="0.25">
      <c r="B15" s="97" t="s">
        <v>146</v>
      </c>
      <c r="C15" s="97" t="s">
        <v>16</v>
      </c>
      <c r="D15" s="115">
        <f t="shared" ref="D15:L15" si="10">D12*$E$10</f>
        <v>0.85982399999999992</v>
      </c>
      <c r="E15" s="112">
        <f t="shared" si="10"/>
        <v>25.794719999999998</v>
      </c>
      <c r="F15" s="112">
        <f t="shared" si="10"/>
        <v>133.27271999999999</v>
      </c>
      <c r="G15" s="360">
        <f t="shared" si="10"/>
        <v>171.9648</v>
      </c>
      <c r="H15" s="733">
        <f t="shared" si="10"/>
        <v>226.133712</v>
      </c>
      <c r="I15" s="112">
        <f t="shared" si="10"/>
        <v>257.94720000000001</v>
      </c>
      <c r="J15" s="112">
        <f t="shared" si="10"/>
        <v>278.58297599999997</v>
      </c>
      <c r="K15" s="112">
        <f t="shared" si="10"/>
        <v>300.9384</v>
      </c>
      <c r="L15" s="112">
        <f t="shared" si="10"/>
        <v>318.8227392</v>
      </c>
      <c r="M15" s="113"/>
      <c r="N15" s="97" t="s">
        <v>129</v>
      </c>
      <c r="O15" s="97" t="s">
        <v>129</v>
      </c>
    </row>
    <row r="16" spans="1:25" ht="13.2" outlineLevel="1" x14ac:dyDescent="0.25">
      <c r="B16" s="154" t="s">
        <v>149</v>
      </c>
      <c r="D16" s="107"/>
      <c r="E16" s="107"/>
      <c r="F16" s="107">
        <v>92</v>
      </c>
      <c r="G16" s="361"/>
      <c r="H16" s="734"/>
      <c r="I16" s="107"/>
      <c r="J16" s="107"/>
      <c r="K16" s="107"/>
      <c r="L16" s="107"/>
      <c r="M16" s="108"/>
      <c r="N16" s="97" t="s">
        <v>7</v>
      </c>
    </row>
    <row r="17" spans="1:18" s="308" customFormat="1" ht="12.75" customHeight="1" x14ac:dyDescent="0.3">
      <c r="A17" s="308" t="s">
        <v>1199</v>
      </c>
      <c r="B17" s="930" t="s">
        <v>13</v>
      </c>
      <c r="C17" s="931"/>
      <c r="D17" s="932">
        <v>0</v>
      </c>
      <c r="E17" s="932">
        <v>970</v>
      </c>
      <c r="F17" s="929">
        <v>1940</v>
      </c>
      <c r="G17" s="932">
        <v>3970</v>
      </c>
      <c r="H17" s="929">
        <v>6000</v>
      </c>
      <c r="I17" s="932">
        <v>5739</v>
      </c>
      <c r="J17" s="932">
        <v>5478</v>
      </c>
      <c r="K17" s="932">
        <v>5347</v>
      </c>
      <c r="L17" s="932">
        <v>4955</v>
      </c>
      <c r="M17" s="331"/>
      <c r="N17" s="308">
        <f>SUM(D17:L17)</f>
        <v>34399</v>
      </c>
      <c r="O17" s="308">
        <f>N18*O18</f>
        <v>171992.77606873651</v>
      </c>
      <c r="P17" s="308" t="s">
        <v>7</v>
      </c>
    </row>
    <row r="18" spans="1:18" ht="33" customHeight="1" x14ac:dyDescent="0.25">
      <c r="A18" s="387" t="s">
        <v>800</v>
      </c>
      <c r="B18" s="333" t="s">
        <v>603</v>
      </c>
      <c r="C18" s="334" t="s">
        <v>65</v>
      </c>
      <c r="D18" s="335">
        <v>0</v>
      </c>
      <c r="E18" s="335">
        <v>969.97792776511494</v>
      </c>
      <c r="F18" s="335">
        <v>1939.9558555302299</v>
      </c>
      <c r="G18" s="362">
        <v>3970.1801107687538</v>
      </c>
      <c r="H18" s="735">
        <v>6000.4043660072775</v>
      </c>
      <c r="I18" s="335">
        <v>5738.9748386016799</v>
      </c>
      <c r="J18" s="335">
        <v>5477.5453111960815</v>
      </c>
      <c r="K18" s="335">
        <v>5346.8305474932822</v>
      </c>
      <c r="L18" s="335">
        <v>4954.6862563848845</v>
      </c>
      <c r="M18" s="108" t="s">
        <v>599</v>
      </c>
      <c r="N18" s="97">
        <f>SUM(D18:L18)</f>
        <v>34398.555213747299</v>
      </c>
      <c r="O18" s="97">
        <v>5</v>
      </c>
      <c r="P18" s="97" t="s">
        <v>7</v>
      </c>
      <c r="Q18" s="97">
        <f>N17/O18</f>
        <v>6879.8</v>
      </c>
      <c r="R18" s="97" t="s">
        <v>7</v>
      </c>
    </row>
    <row r="19" spans="1:18" ht="13.95" customHeight="1" x14ac:dyDescent="0.25">
      <c r="B19" s="336"/>
      <c r="C19" s="336" t="s">
        <v>16</v>
      </c>
      <c r="D19" s="337">
        <v>0</v>
      </c>
      <c r="E19" s="337">
        <v>23.2</v>
      </c>
      <c r="F19" s="337">
        <v>46.3</v>
      </c>
      <c r="G19" s="363">
        <v>93</v>
      </c>
      <c r="H19" s="736">
        <v>139.69999999999999</v>
      </c>
      <c r="I19" s="337">
        <v>134.9</v>
      </c>
      <c r="J19" s="337">
        <v>130.19999999999999</v>
      </c>
      <c r="K19" s="337">
        <v>127.8</v>
      </c>
      <c r="L19" s="337">
        <v>120.7</v>
      </c>
      <c r="M19" s="108"/>
      <c r="P19" s="112" t="s">
        <v>138</v>
      </c>
      <c r="Q19" s="97" t="s">
        <v>139</v>
      </c>
      <c r="R19" s="97" t="s">
        <v>140</v>
      </c>
    </row>
    <row r="20" spans="1:18" ht="13.2" x14ac:dyDescent="0.25">
      <c r="B20" s="336"/>
      <c r="C20" s="336"/>
      <c r="D20" s="337"/>
      <c r="E20" s="337"/>
      <c r="F20" s="337" t="s">
        <v>7</v>
      </c>
      <c r="G20" s="363"/>
      <c r="H20" s="736"/>
      <c r="I20" s="337"/>
      <c r="J20" s="337"/>
      <c r="K20" s="337"/>
      <c r="L20" s="337"/>
      <c r="M20" s="108"/>
      <c r="P20" s="97">
        <f>Lähteeeldused!M11</f>
        <v>8.5980000000000001E-2</v>
      </c>
      <c r="Q20" s="97" t="s">
        <v>141</v>
      </c>
    </row>
    <row r="21" spans="1:18" ht="12.75" customHeight="1" x14ac:dyDescent="0.25">
      <c r="B21" s="336" t="s">
        <v>151</v>
      </c>
      <c r="C21" s="336" t="s">
        <v>65</v>
      </c>
      <c r="D21" s="338">
        <v>29886.140291495798</v>
      </c>
      <c r="E21" s="338">
        <v>31254.330001118426</v>
      </c>
      <c r="F21" s="338">
        <v>31266.798568937575</v>
      </c>
      <c r="G21" s="364">
        <v>30260.078871942118</v>
      </c>
      <c r="H21" s="737">
        <v>29253.359174946665</v>
      </c>
      <c r="I21" s="338">
        <v>25759.772689012549</v>
      </c>
      <c r="J21" s="338">
        <v>22266.186203078443</v>
      </c>
      <c r="K21" s="338">
        <v>20519.392960111392</v>
      </c>
      <c r="L21" s="338">
        <v>15279.013231210223</v>
      </c>
      <c r="M21" s="113"/>
      <c r="P21" s="97">
        <v>10</v>
      </c>
      <c r="Q21" s="97" t="s">
        <v>144</v>
      </c>
      <c r="R21" s="97" t="s">
        <v>145</v>
      </c>
    </row>
    <row r="22" spans="1:18" ht="12.75" customHeight="1" x14ac:dyDescent="0.25">
      <c r="A22" s="274">
        <f>A29*A36</f>
        <v>0.96406566913854941</v>
      </c>
      <c r="B22" s="336"/>
      <c r="C22" s="336" t="s">
        <v>16</v>
      </c>
      <c r="D22" s="336">
        <v>714</v>
      </c>
      <c r="E22" s="336">
        <v>730</v>
      </c>
      <c r="F22" s="336">
        <v>746</v>
      </c>
      <c r="G22" s="365">
        <v>713</v>
      </c>
      <c r="H22" s="738">
        <v>681</v>
      </c>
      <c r="I22" s="336">
        <v>604</v>
      </c>
      <c r="J22" s="336">
        <v>526</v>
      </c>
      <c r="K22" s="336">
        <v>487</v>
      </c>
      <c r="L22" s="336">
        <v>371</v>
      </c>
      <c r="N22" s="107" t="s">
        <v>7</v>
      </c>
      <c r="Q22" s="97">
        <v>0</v>
      </c>
      <c r="R22" s="97">
        <v>300</v>
      </c>
    </row>
    <row r="23" spans="1:18" ht="12.75" customHeight="1" x14ac:dyDescent="0.25">
      <c r="A23" s="274">
        <f>A36*A26</f>
        <v>1.3014886533370418</v>
      </c>
      <c r="B23" s="336" t="s">
        <v>153</v>
      </c>
      <c r="C23" s="336" t="s">
        <v>154</v>
      </c>
      <c r="D23" s="339">
        <f t="shared" ref="D23:L23" si="11">D18/D21</f>
        <v>0</v>
      </c>
      <c r="E23" s="339">
        <f t="shared" si="11"/>
        <v>3.1034993478676543E-2</v>
      </c>
      <c r="F23" s="339">
        <f>F18/F21</f>
        <v>6.204523470009192E-2</v>
      </c>
      <c r="G23" s="366">
        <f t="shared" si="11"/>
        <v>0.1312019088770453</v>
      </c>
      <c r="H23" s="739">
        <f t="shared" si="11"/>
        <v>0.20511847306569084</v>
      </c>
      <c r="I23" s="339">
        <f t="shared" si="11"/>
        <v>0.22278825624302015</v>
      </c>
      <c r="J23" s="339">
        <f t="shared" si="11"/>
        <v>0.24600285209322356</v>
      </c>
      <c r="K23" s="339">
        <f t="shared" si="11"/>
        <v>0.26057449934738497</v>
      </c>
      <c r="L23" s="339">
        <f t="shared" si="11"/>
        <v>0.3242805134996557</v>
      </c>
      <c r="M23" s="117"/>
      <c r="Q23" s="97">
        <v>0</v>
      </c>
      <c r="R23" s="97">
        <v>300</v>
      </c>
    </row>
    <row r="24" spans="1:18" s="454" customFormat="1" ht="12.75" customHeight="1" x14ac:dyDescent="0.25">
      <c r="A24" s="454" t="s">
        <v>908</v>
      </c>
      <c r="B24" s="467" t="s">
        <v>602</v>
      </c>
      <c r="C24" s="467"/>
      <c r="D24" s="343">
        <v>0</v>
      </c>
      <c r="E24" s="343">
        <v>0</v>
      </c>
      <c r="F24" s="343">
        <v>0</v>
      </c>
      <c r="G24" s="368">
        <v>0</v>
      </c>
      <c r="H24" s="740">
        <v>0</v>
      </c>
      <c r="I24" s="343">
        <v>0</v>
      </c>
      <c r="J24" s="343">
        <v>0</v>
      </c>
      <c r="K24" s="343">
        <v>0</v>
      </c>
      <c r="L24" s="343">
        <v>0</v>
      </c>
      <c r="M24" s="468"/>
      <c r="N24" s="454">
        <f>SUM(D24:L24)</f>
        <v>0</v>
      </c>
      <c r="O24" s="454">
        <f>N25*O18</f>
        <v>186891.22393126349</v>
      </c>
    </row>
    <row r="25" spans="1:18" s="469" customFormat="1" ht="12.75" customHeight="1" x14ac:dyDescent="0.25">
      <c r="A25" s="469" t="s">
        <v>909</v>
      </c>
      <c r="B25" s="470" t="s">
        <v>811</v>
      </c>
      <c r="C25" s="470" t="s">
        <v>65</v>
      </c>
      <c r="D25" s="471">
        <f t="shared" ref="D25:L25" si="12">D12-D18</f>
        <v>36</v>
      </c>
      <c r="E25" s="471">
        <f t="shared" si="12"/>
        <v>110.02207223488506</v>
      </c>
      <c r="F25" s="471">
        <f t="shared" si="12"/>
        <v>3640.0441444697699</v>
      </c>
      <c r="G25" s="368">
        <f t="shared" si="12"/>
        <v>3229.8198892312462</v>
      </c>
      <c r="H25" s="740">
        <f t="shared" si="12"/>
        <v>3467.5956339927225</v>
      </c>
      <c r="I25" s="471">
        <f t="shared" si="12"/>
        <v>5061.0251613983201</v>
      </c>
      <c r="J25" s="471">
        <f t="shared" si="12"/>
        <v>6186.4546888039185</v>
      </c>
      <c r="K25" s="471">
        <f t="shared" si="12"/>
        <v>7253.1694525067178</v>
      </c>
      <c r="L25" s="471">
        <f t="shared" si="12"/>
        <v>8394.1137436151166</v>
      </c>
      <c r="M25" s="472"/>
      <c r="N25" s="469">
        <f>SUM(D25:L25)</f>
        <v>37378.244786252697</v>
      </c>
    </row>
    <row r="26" spans="1:18" ht="12.75" customHeight="1" x14ac:dyDescent="0.25">
      <c r="A26" s="274">
        <f>A31*A29</f>
        <v>1.0845738777808682</v>
      </c>
      <c r="B26" s="336"/>
      <c r="C26" s="336" t="s">
        <v>16</v>
      </c>
      <c r="D26" s="337">
        <f t="shared" ref="D26:L26" si="13">D25*$E$10</f>
        <v>0.85982399999999992</v>
      </c>
      <c r="E26" s="337">
        <f t="shared" si="13"/>
        <v>2.6277671732579946</v>
      </c>
      <c r="F26" s="337">
        <f t="shared" si="13"/>
        <v>86.938814346515983</v>
      </c>
      <c r="G26" s="363">
        <f t="shared" si="13"/>
        <v>77.141018234399084</v>
      </c>
      <c r="H26" s="736">
        <f t="shared" si="13"/>
        <v>82.820054122282187</v>
      </c>
      <c r="I26" s="337">
        <f t="shared" si="13"/>
        <v>120.87752495483747</v>
      </c>
      <c r="J26" s="337">
        <f t="shared" si="13"/>
        <v>147.75728378739279</v>
      </c>
      <c r="K26" s="337">
        <f t="shared" si="13"/>
        <v>173.23469920367043</v>
      </c>
      <c r="L26" s="337">
        <f t="shared" si="13"/>
        <v>200.48501265250343</v>
      </c>
      <c r="M26" s="108"/>
      <c r="O26" s="115" t="s">
        <v>7</v>
      </c>
    </row>
    <row r="27" spans="1:18" ht="12.75" customHeight="1" x14ac:dyDescent="0.25">
      <c r="A27" s="292">
        <f>abitabelid!B201</f>
        <v>0.48086419753086418</v>
      </c>
      <c r="B27" s="470" t="s">
        <v>156</v>
      </c>
      <c r="C27" s="470" t="s">
        <v>154</v>
      </c>
      <c r="D27" s="473">
        <v>0</v>
      </c>
      <c r="E27" s="473">
        <f>E25/E12</f>
        <v>0.10187228910637505</v>
      </c>
      <c r="F27" s="473">
        <f t="shared" ref="F27:L27" si="14">F25/F12</f>
        <v>0.65233766029924189</v>
      </c>
      <c r="G27" s="473">
        <f t="shared" si="14"/>
        <v>0.448586095726562</v>
      </c>
      <c r="H27" s="741">
        <f t="shared" si="14"/>
        <v>0.36624372982601633</v>
      </c>
      <c r="I27" s="473">
        <f t="shared" si="14"/>
        <v>0.46861344087021484</v>
      </c>
      <c r="J27" s="473">
        <f t="shared" si="14"/>
        <v>0.53038877647495875</v>
      </c>
      <c r="K27" s="473">
        <f t="shared" si="14"/>
        <v>0.57564836924656493</v>
      </c>
      <c r="L27" s="473">
        <f t="shared" si="14"/>
        <v>0.62882908902786139</v>
      </c>
      <c r="M27" s="117"/>
      <c r="N27" s="115">
        <f>D33+N28</f>
        <v>13.357338820301782</v>
      </c>
    </row>
    <row r="28" spans="1:18" ht="12.75" customHeight="1" x14ac:dyDescent="0.25">
      <c r="A28" s="319">
        <f>uus_info!C5</f>
        <v>0.1</v>
      </c>
      <c r="B28" s="498" t="s">
        <v>963</v>
      </c>
      <c r="C28" s="336" t="s">
        <v>158</v>
      </c>
      <c r="D28" s="337"/>
      <c r="E28" s="337">
        <v>100.85470085470087</v>
      </c>
      <c r="F28" s="337">
        <v>101.70940170940172</v>
      </c>
      <c r="G28" s="337">
        <v>102.56410256410257</v>
      </c>
      <c r="H28" s="736">
        <v>105.12820512820514</v>
      </c>
      <c r="I28" s="337">
        <v>108.54700854700856</v>
      </c>
      <c r="J28" s="337">
        <f>1.032*100</f>
        <v>103.2</v>
      </c>
      <c r="K28" s="337">
        <f>1.032*100</f>
        <v>103.2</v>
      </c>
      <c r="L28" s="337">
        <f>1.032*100</f>
        <v>103.2</v>
      </c>
      <c r="M28" s="320"/>
      <c r="N28" s="115">
        <f>N29-D33</f>
        <v>0</v>
      </c>
    </row>
    <row r="29" spans="1:18" ht="12.75" customHeight="1" x14ac:dyDescent="0.25">
      <c r="A29" s="296">
        <f>((A62+A28)*1.07)-A89-A90</f>
        <v>0.80338805761545784</v>
      </c>
      <c r="B29" s="347" t="s">
        <v>219</v>
      </c>
      <c r="C29" s="474" t="s">
        <v>964</v>
      </c>
      <c r="D29" s="499"/>
      <c r="E29" s="499"/>
      <c r="F29" s="499"/>
      <c r="G29" s="499"/>
      <c r="H29" s="742"/>
      <c r="I29" s="499"/>
      <c r="J29" s="499"/>
      <c r="K29" s="499"/>
      <c r="L29" s="499"/>
      <c r="M29" s="272" t="s">
        <v>965</v>
      </c>
      <c r="N29" s="97">
        <f>D33/N36</f>
        <v>13.357338820301782</v>
      </c>
    </row>
    <row r="30" spans="1:18" ht="12" customHeight="1" x14ac:dyDescent="0.25">
      <c r="A30" s="960">
        <f>(A29/F10)/D10*1000</f>
        <v>22.316334933762718</v>
      </c>
      <c r="B30" s="336" t="s">
        <v>157</v>
      </c>
      <c r="C30" s="467" t="s">
        <v>158</v>
      </c>
      <c r="D30" s="343">
        <f>A30</f>
        <v>22.316334933762718</v>
      </c>
      <c r="E30" s="343">
        <f>$D$30*E28/100</f>
        <v>22.507072839179497</v>
      </c>
      <c r="F30" s="343">
        <f t="shared" ref="F30:I30" si="15">$D$30*F28/100</f>
        <v>22.697810744596271</v>
      </c>
      <c r="G30" s="343">
        <f t="shared" si="15"/>
        <v>22.888548650013046</v>
      </c>
      <c r="H30" s="343">
        <f t="shared" si="15"/>
        <v>23.460762366263371</v>
      </c>
      <c r="I30" s="343">
        <f t="shared" si="15"/>
        <v>24.223713987930473</v>
      </c>
      <c r="J30" s="343">
        <f>I$30*J28/100</f>
        <v>24.998872835544248</v>
      </c>
      <c r="K30" s="343">
        <f t="shared" ref="K30:L30" si="16">J$30*K28/100</f>
        <v>25.798836766281667</v>
      </c>
      <c r="L30" s="343">
        <f t="shared" si="16"/>
        <v>26.624399542802681</v>
      </c>
      <c r="M30" s="272" t="s">
        <v>800</v>
      </c>
      <c r="N30" s="115">
        <f>D33+N31</f>
        <v>13.357338820301782</v>
      </c>
    </row>
    <row r="31" spans="1:18" ht="25.05" customHeight="1" x14ac:dyDescent="0.25">
      <c r="A31" s="274">
        <v>1.35</v>
      </c>
      <c r="B31" s="336" t="s">
        <v>804</v>
      </c>
      <c r="C31" s="467" t="s">
        <v>158</v>
      </c>
      <c r="D31" s="343">
        <f>D33</f>
        <v>13.357338820301782</v>
      </c>
      <c r="E31" s="343">
        <f>D31</f>
        <v>13.357338820301782</v>
      </c>
      <c r="F31" s="343">
        <f t="shared" ref="F31:L31" si="17">F30</f>
        <v>22.697810744596271</v>
      </c>
      <c r="G31" s="368">
        <f t="shared" si="17"/>
        <v>22.888548650013046</v>
      </c>
      <c r="H31" s="743">
        <f t="shared" si="17"/>
        <v>23.460762366263371</v>
      </c>
      <c r="I31" s="355">
        <f t="shared" si="17"/>
        <v>24.223713987930473</v>
      </c>
      <c r="J31" s="355">
        <f t="shared" si="17"/>
        <v>24.998872835544248</v>
      </c>
      <c r="K31" s="355">
        <f t="shared" si="17"/>
        <v>25.798836766281667</v>
      </c>
      <c r="L31" s="355">
        <f t="shared" si="17"/>
        <v>26.624399542802681</v>
      </c>
      <c r="M31" s="108"/>
      <c r="N31" s="97">
        <f>E31*E46</f>
        <v>0</v>
      </c>
    </row>
    <row r="32" spans="1:18" ht="12.75" customHeight="1" x14ac:dyDescent="0.25">
      <c r="A32" s="275">
        <f>(D32/10)/3.6</f>
        <v>0.29472222222222222</v>
      </c>
      <c r="B32" s="344" t="s">
        <v>784</v>
      </c>
      <c r="C32" s="344" t="s">
        <v>158</v>
      </c>
      <c r="D32" s="345">
        <v>10.61</v>
      </c>
      <c r="E32" s="346">
        <v>10.14</v>
      </c>
      <c r="F32" s="346">
        <f>E32</f>
        <v>10.14</v>
      </c>
      <c r="G32" s="369">
        <f t="shared" ref="G32:L32" si="18">F32</f>
        <v>10.14</v>
      </c>
      <c r="H32" s="744">
        <f t="shared" si="18"/>
        <v>10.14</v>
      </c>
      <c r="I32" s="346">
        <f t="shared" si="18"/>
        <v>10.14</v>
      </c>
      <c r="J32" s="346">
        <f t="shared" si="18"/>
        <v>10.14</v>
      </c>
      <c r="K32" s="346">
        <f t="shared" si="18"/>
        <v>10.14</v>
      </c>
      <c r="L32" s="346">
        <f t="shared" si="18"/>
        <v>10.14</v>
      </c>
      <c r="M32" s="175">
        <f>F32/E32-1</f>
        <v>0</v>
      </c>
      <c r="N32" s="97">
        <f>D31*E46</f>
        <v>0</v>
      </c>
    </row>
    <row r="33" spans="1:21" ht="12.75" customHeight="1" x14ac:dyDescent="0.25">
      <c r="A33" s="959">
        <f>A27/10/3.6*1000</f>
        <v>13.357338820301782</v>
      </c>
      <c r="B33" s="347" t="s">
        <v>785</v>
      </c>
      <c r="C33" s="336" t="s">
        <v>158</v>
      </c>
      <c r="D33" s="348">
        <f>A33</f>
        <v>13.357338820301782</v>
      </c>
      <c r="E33" s="348">
        <f>$D$33*E28/100</f>
        <v>13.471504109364192</v>
      </c>
      <c r="F33" s="348">
        <f t="shared" ref="F33:L33" si="19">$D$33*F28/100</f>
        <v>13.585669398426601</v>
      </c>
      <c r="G33" s="348">
        <f t="shared" si="19"/>
        <v>13.699834687489009</v>
      </c>
      <c r="H33" s="348">
        <f t="shared" si="19"/>
        <v>14.042330554676234</v>
      </c>
      <c r="I33" s="348">
        <f t="shared" si="19"/>
        <v>14.498991710925868</v>
      </c>
      <c r="J33" s="348">
        <f t="shared" si="19"/>
        <v>13.784773662551441</v>
      </c>
      <c r="K33" s="348">
        <f t="shared" si="19"/>
        <v>13.784773662551441</v>
      </c>
      <c r="L33" s="348">
        <f t="shared" si="19"/>
        <v>13.784773662551441</v>
      </c>
      <c r="M33" s="380" t="s">
        <v>328</v>
      </c>
      <c r="N33" s="115">
        <f>N32+D33</f>
        <v>13.357338820301782</v>
      </c>
    </row>
    <row r="34" spans="1:21" ht="12.75" customHeight="1" x14ac:dyDescent="0.25">
      <c r="B34" s="336" t="s">
        <v>161</v>
      </c>
      <c r="C34" s="336" t="s">
        <v>158</v>
      </c>
      <c r="D34" s="336"/>
      <c r="E34" s="337">
        <v>18.018999999999998</v>
      </c>
      <c r="F34" s="337">
        <v>18.344000000000001</v>
      </c>
      <c r="G34" s="363">
        <v>18.831</v>
      </c>
      <c r="H34" s="736">
        <v>19.641999999999999</v>
      </c>
      <c r="I34" s="337">
        <v>20.779</v>
      </c>
      <c r="J34" s="337">
        <v>21.593</v>
      </c>
      <c r="K34" s="337">
        <v>22.407</v>
      </c>
      <c r="L34" s="337">
        <v>23.22</v>
      </c>
      <c r="M34" s="108"/>
      <c r="N34" s="97">
        <f>E31*F46</f>
        <v>5.4967348894659596</v>
      </c>
      <c r="O34" s="97" t="s">
        <v>152</v>
      </c>
    </row>
    <row r="35" spans="1:21" ht="12.75" customHeight="1" x14ac:dyDescent="0.25">
      <c r="A35" s="275">
        <f>((E35/1000)/10)/3.6</f>
        <v>0.49558333333333332</v>
      </c>
      <c r="B35" s="336" t="s">
        <v>162</v>
      </c>
      <c r="C35" s="336" t="s">
        <v>163</v>
      </c>
      <c r="D35" s="336"/>
      <c r="E35" s="338">
        <v>17841</v>
      </c>
      <c r="F35" s="338">
        <v>17992</v>
      </c>
      <c r="G35" s="364">
        <v>18143</v>
      </c>
      <c r="H35" s="737">
        <v>18597</v>
      </c>
      <c r="I35" s="338">
        <v>19201</v>
      </c>
      <c r="J35" s="338">
        <v>19661</v>
      </c>
      <c r="K35" s="338">
        <v>20121</v>
      </c>
      <c r="L35" s="338">
        <v>20581</v>
      </c>
      <c r="M35" s="113"/>
      <c r="N35" s="107">
        <f>N34+E31</f>
        <v>18.854073709767743</v>
      </c>
      <c r="O35" s="97">
        <v>37710</v>
      </c>
    </row>
    <row r="36" spans="1:21" s="252" customFormat="1" ht="12" customHeight="1" x14ac:dyDescent="0.25">
      <c r="A36" s="248">
        <v>1.2</v>
      </c>
      <c r="B36" s="350" t="s">
        <v>947</v>
      </c>
      <c r="C36" s="350" t="s">
        <v>158</v>
      </c>
      <c r="D36" s="356">
        <f>D31-D33</f>
        <v>0</v>
      </c>
      <c r="E36" s="356">
        <f>E31-E33</f>
        <v>-0.11416528906240941</v>
      </c>
      <c r="F36" s="356">
        <f t="shared" ref="F36:L36" si="20">F31-F33</f>
        <v>9.1121413461696701</v>
      </c>
      <c r="G36" s="356">
        <f t="shared" si="20"/>
        <v>9.1887139625240373</v>
      </c>
      <c r="H36" s="745">
        <f t="shared" si="20"/>
        <v>9.418431811587137</v>
      </c>
      <c r="I36" s="356">
        <f t="shared" si="20"/>
        <v>9.7247222770046058</v>
      </c>
      <c r="J36" s="356">
        <f t="shared" si="20"/>
        <v>11.214099172992807</v>
      </c>
      <c r="K36" s="356">
        <f t="shared" si="20"/>
        <v>12.014063103730226</v>
      </c>
      <c r="L36" s="356">
        <f t="shared" si="20"/>
        <v>12.839625880251241</v>
      </c>
      <c r="M36" s="379"/>
      <c r="N36" s="252">
        <f>D31/E31</f>
        <v>1</v>
      </c>
    </row>
    <row r="37" spans="1:21" ht="25.05" customHeight="1" x14ac:dyDescent="0.25">
      <c r="A37" s="340" t="s">
        <v>604</v>
      </c>
      <c r="B37" s="252" t="s">
        <v>975</v>
      </c>
      <c r="C37" s="350" t="s">
        <v>158</v>
      </c>
      <c r="D37" s="342">
        <f t="shared" ref="D37:L37" si="21">D30-D31</f>
        <v>8.9589961134609357</v>
      </c>
      <c r="E37" s="342">
        <f>E30-E31</f>
        <v>9.1497340188777141</v>
      </c>
      <c r="F37" s="342">
        <f t="shared" si="21"/>
        <v>0</v>
      </c>
      <c r="G37" s="367">
        <f t="shared" si="21"/>
        <v>0</v>
      </c>
      <c r="H37" s="736">
        <f t="shared" si="21"/>
        <v>0</v>
      </c>
      <c r="I37" s="337">
        <f t="shared" si="21"/>
        <v>0</v>
      </c>
      <c r="J37" s="337">
        <f t="shared" si="21"/>
        <v>0</v>
      </c>
      <c r="K37" s="337">
        <f t="shared" si="21"/>
        <v>0</v>
      </c>
      <c r="L37" s="337">
        <f t="shared" si="21"/>
        <v>0</v>
      </c>
      <c r="M37" s="113"/>
      <c r="N37" s="97">
        <f>1-N36</f>
        <v>0</v>
      </c>
    </row>
    <row r="38" spans="1:21" ht="12.75" customHeight="1" x14ac:dyDescent="0.25">
      <c r="A38" s="276">
        <f>E31+E39+E89-E62</f>
        <v>2.810737135071026</v>
      </c>
      <c r="B38" s="347" t="s">
        <v>890</v>
      </c>
      <c r="C38" s="336" t="str">
        <f>C39</f>
        <v>M€/a</v>
      </c>
      <c r="D38" s="349">
        <f>D36*'kütuste tarbimine EE'!C8/1000</f>
        <v>0</v>
      </c>
      <c r="E38" s="349">
        <f>E36*'kütuste tarbimine EE'!D8/1000</f>
        <v>-3.8726184211600408E-2</v>
      </c>
      <c r="F38" s="349">
        <f>F36*'kütuste tarbimine EE'!E8/1000</f>
        <v>9.4331614627048204</v>
      </c>
      <c r="G38" s="349">
        <f>G36*'kütuste tarbimine EE'!F8/1000</f>
        <v>17.673186008435266</v>
      </c>
      <c r="H38" s="746">
        <f>H36*'kütuste tarbimine EE'!G8/1000</f>
        <v>26.479788797017566</v>
      </c>
      <c r="I38" s="349">
        <f>I36*'kütuste tarbimine EE'!H8/1000</f>
        <v>24.577595982304434</v>
      </c>
      <c r="J38" s="349">
        <f>J36*'kütuste tarbimine EE'!I8/1000</f>
        <v>25.155207589437104</v>
      </c>
      <c r="K38" s="349">
        <f>K36*'kütuste tarbimine EE'!J8/1000</f>
        <v>25.242742760865607</v>
      </c>
      <c r="L38" s="349">
        <f>L36*'kütuste tarbimine EE'!K8/1000</f>
        <v>21.504675031271951</v>
      </c>
      <c r="M38" s="97"/>
    </row>
    <row r="39" spans="1:21" s="252" customFormat="1" ht="22.95" customHeight="1" x14ac:dyDescent="0.25">
      <c r="A39" s="353">
        <f>D39+E39+F39+G39</f>
        <v>8.8750400432329819</v>
      </c>
      <c r="B39" s="388" t="s">
        <v>828</v>
      </c>
      <c r="C39" s="388" t="s">
        <v>166</v>
      </c>
      <c r="D39" s="389">
        <f>(D37/1000)*D18</f>
        <v>0</v>
      </c>
      <c r="E39" s="389">
        <f>(E37/1000)*E18</f>
        <v>8.8750400432329819</v>
      </c>
      <c r="F39" s="389">
        <f t="shared" ref="F39:G39" si="22">(F37/1000)*F18</f>
        <v>0</v>
      </c>
      <c r="G39" s="370">
        <f t="shared" si="22"/>
        <v>0</v>
      </c>
      <c r="H39" s="747">
        <f>(H37/1000)*H18</f>
        <v>0</v>
      </c>
      <c r="I39" s="390">
        <f t="shared" ref="I39:L39" si="23">(I37/1000)*I18</f>
        <v>0</v>
      </c>
      <c r="J39" s="390">
        <f t="shared" si="23"/>
        <v>0</v>
      </c>
      <c r="K39" s="390">
        <f t="shared" si="23"/>
        <v>0</v>
      </c>
      <c r="L39" s="390">
        <f t="shared" si="23"/>
        <v>0</v>
      </c>
      <c r="M39" s="331" t="s">
        <v>606</v>
      </c>
      <c r="N39" s="353">
        <f>SUM(D39:L39)</f>
        <v>8.8750400432329819</v>
      </c>
    </row>
    <row r="40" spans="1:21" s="385" customFormat="1" ht="12.75" customHeight="1" x14ac:dyDescent="0.25">
      <c r="A40" s="936">
        <f>A39+A79</f>
        <v>36.195735256904882</v>
      </c>
      <c r="B40" s="381" t="s">
        <v>790</v>
      </c>
      <c r="C40" s="382" t="s">
        <v>166</v>
      </c>
      <c r="D40" s="383">
        <f>(D24*D38)/1000</f>
        <v>0</v>
      </c>
      <c r="E40" s="383">
        <f t="shared" ref="E40:L40" si="24">(E24*E38)/1000</f>
        <v>0</v>
      </c>
      <c r="F40" s="383">
        <f t="shared" si="24"/>
        <v>0</v>
      </c>
      <c r="G40" s="383">
        <f t="shared" si="24"/>
        <v>0</v>
      </c>
      <c r="H40" s="736">
        <f t="shared" si="24"/>
        <v>0</v>
      </c>
      <c r="I40" s="383">
        <f t="shared" si="24"/>
        <v>0</v>
      </c>
      <c r="J40" s="383">
        <f t="shared" si="24"/>
        <v>0</v>
      </c>
      <c r="K40" s="383">
        <f t="shared" si="24"/>
        <v>0</v>
      </c>
      <c r="L40" s="383">
        <f t="shared" si="24"/>
        <v>0</v>
      </c>
      <c r="M40" s="384"/>
    </row>
    <row r="41" spans="1:21" s="385" customFormat="1" ht="12.75" customHeight="1" x14ac:dyDescent="0.25">
      <c r="A41" s="477">
        <f>D41+E41+F41+G41+H41</f>
        <v>119.43670297439186</v>
      </c>
      <c r="B41" s="381" t="s">
        <v>1207</v>
      </c>
      <c r="C41" s="382"/>
      <c r="D41" s="476">
        <f>(D30-D33)*D18/1000</f>
        <v>0</v>
      </c>
      <c r="E41" s="476">
        <f t="shared" ref="E41:L41" si="25">(E30-E33)*E18/1000</f>
        <v>8.7643022327255196</v>
      </c>
      <c r="F41" s="476">
        <f t="shared" si="25"/>
        <v>17.677151960920966</v>
      </c>
      <c r="G41" s="476">
        <f t="shared" si="25"/>
        <v>36.48084941755608</v>
      </c>
      <c r="H41" s="476">
        <f t="shared" si="25"/>
        <v>56.514399363189291</v>
      </c>
      <c r="I41" s="476">
        <f t="shared" si="25"/>
        <v>55.809936460118671</v>
      </c>
      <c r="J41" s="476">
        <f t="shared" si="25"/>
        <v>61.425736344314601</v>
      </c>
      <c r="K41" s="476">
        <f t="shared" si="25"/>
        <v>64.237159602536721</v>
      </c>
      <c r="L41" s="476">
        <f t="shared" si="25"/>
        <v>63.616317886004495</v>
      </c>
      <c r="M41" s="385" t="s">
        <v>925</v>
      </c>
    </row>
    <row r="42" spans="1:21" ht="12.75" customHeight="1" x14ac:dyDescent="0.25">
      <c r="A42" s="477">
        <f>H41+L42+I41+J41+K41+L41</f>
        <v>301.60354965616375</v>
      </c>
      <c r="B42" s="498" t="s">
        <v>976</v>
      </c>
      <c r="C42" s="336"/>
      <c r="D42" s="337">
        <f>D41-D45</f>
        <v>0</v>
      </c>
      <c r="E42" s="337">
        <f t="shared" ref="E42:G42" si="26">E41-E45</f>
        <v>-10.096379696040604</v>
      </c>
      <c r="F42" s="337">
        <f t="shared" si="26"/>
        <v>-20.04421189661128</v>
      </c>
      <c r="G42" s="337">
        <f t="shared" si="26"/>
        <v>-40.71709718072524</v>
      </c>
      <c r="H42" s="736"/>
      <c r="I42" s="337"/>
      <c r="J42" s="337"/>
      <c r="K42" s="337"/>
      <c r="L42" s="337"/>
      <c r="M42" s="478" t="s">
        <v>924</v>
      </c>
    </row>
    <row r="43" spans="1:21" ht="12.75" customHeight="1" x14ac:dyDescent="0.25">
      <c r="A43" s="274">
        <v>0.90900000000000003</v>
      </c>
      <c r="B43" s="475" t="s">
        <v>914</v>
      </c>
      <c r="C43" s="467" t="s">
        <v>169</v>
      </c>
      <c r="D43" s="343">
        <f>(D30*D25)/1000</f>
        <v>0.80338805761545795</v>
      </c>
      <c r="E43" s="343">
        <f t="shared" ref="E43:L43" si="27">(E30*E25)/1000</f>
        <v>2.4762747937080261</v>
      </c>
      <c r="F43" s="343">
        <f t="shared" si="27"/>
        <v>82.621033093150686</v>
      </c>
      <c r="G43" s="343">
        <f t="shared" si="27"/>
        <v>73.92588966544912</v>
      </c>
      <c r="H43" s="740">
        <f t="shared" si="27"/>
        <v>81.352437151395648</v>
      </c>
      <c r="I43" s="343">
        <f t="shared" si="27"/>
        <v>122.59682599543257</v>
      </c>
      <c r="J43" s="343">
        <f t="shared" si="27"/>
        <v>154.65439406826562</v>
      </c>
      <c r="K43" s="343">
        <f t="shared" si="27"/>
        <v>187.12333474340139</v>
      </c>
      <c r="L43" s="343">
        <f t="shared" si="27"/>
        <v>223.48823811774002</v>
      </c>
      <c r="M43" s="302" t="s">
        <v>913</v>
      </c>
    </row>
    <row r="44" spans="1:21" ht="34.049999999999997" customHeight="1" x14ac:dyDescent="0.25">
      <c r="A44" s="274" t="s">
        <v>912</v>
      </c>
      <c r="B44" s="475" t="s">
        <v>977</v>
      </c>
      <c r="C44" s="491" t="s">
        <v>169</v>
      </c>
      <c r="D44" s="492">
        <f>(D31*D18)/1000</f>
        <v>0</v>
      </c>
      <c r="E44" s="492">
        <f>(E31*E18)/1000</f>
        <v>12.956323829372849</v>
      </c>
      <c r="F44" s="492">
        <f>(F31*F18)/1000</f>
        <v>44.032750861696506</v>
      </c>
      <c r="G44" s="492">
        <f t="shared" ref="G44:L44" si="28">(G31*G18)/1000</f>
        <v>90.87166061464481</v>
      </c>
      <c r="H44" s="748">
        <f t="shared" si="28"/>
        <v>140.77406093238596</v>
      </c>
      <c r="I44" s="492">
        <f t="shared" si="28"/>
        <v>139.01928507421655</v>
      </c>
      <c r="J44" s="492">
        <f t="shared" si="28"/>
        <v>136.9324586855225</v>
      </c>
      <c r="K44" s="492">
        <f t="shared" si="28"/>
        <v>137.94200851174762</v>
      </c>
      <c r="L44" s="492">
        <f t="shared" si="28"/>
        <v>131.91554649922443</v>
      </c>
      <c r="M44" s="108" t="s">
        <v>607</v>
      </c>
    </row>
    <row r="45" spans="1:21" s="252" customFormat="1" ht="52.05" customHeight="1" x14ac:dyDescent="0.25">
      <c r="A45" s="406">
        <f>A62</f>
        <v>0.7</v>
      </c>
      <c r="B45" s="403" t="s">
        <v>982</v>
      </c>
      <c r="C45" s="404" t="s">
        <v>169</v>
      </c>
      <c r="D45" s="405">
        <f>(D18*$A$47)/1000</f>
        <v>0</v>
      </c>
      <c r="E45" s="405">
        <f>(E18*$A$47)/1000</f>
        <v>18.860681928766123</v>
      </c>
      <c r="F45" s="405">
        <f t="shared" ref="F45:L45" si="29">(F18*$A$47)/1000</f>
        <v>37.721363857532246</v>
      </c>
      <c r="G45" s="405">
        <f t="shared" si="29"/>
        <v>77.19794659828132</v>
      </c>
      <c r="H45" s="749">
        <f t="shared" si="29"/>
        <v>116.67452933903039</v>
      </c>
      <c r="I45" s="405">
        <f t="shared" si="29"/>
        <v>111.59117741725487</v>
      </c>
      <c r="J45" s="405">
        <f t="shared" si="29"/>
        <v>106.50782549547935</v>
      </c>
      <c r="K45" s="405">
        <f t="shared" si="29"/>
        <v>103.96614953459159</v>
      </c>
      <c r="L45" s="405">
        <f t="shared" si="29"/>
        <v>96.341121651928304</v>
      </c>
      <c r="M45" s="272">
        <v>5</v>
      </c>
      <c r="N45" s="252">
        <f>E46/M45</f>
        <v>0</v>
      </c>
    </row>
    <row r="46" spans="1:21" ht="12" customHeight="1" x14ac:dyDescent="0.25">
      <c r="B46" s="305" t="s">
        <v>805</v>
      </c>
      <c r="C46" s="293" t="s">
        <v>154</v>
      </c>
      <c r="D46" s="302"/>
      <c r="E46" s="332">
        <f>1-(D31/E31)</f>
        <v>0</v>
      </c>
      <c r="F46" s="332">
        <f t="shared" ref="F46:H46" si="30">1-(E31/F31)</f>
        <v>0.41151422176335661</v>
      </c>
      <c r="G46" s="371">
        <f t="shared" si="30"/>
        <v>8.3333333333333037E-3</v>
      </c>
      <c r="H46" s="750">
        <f t="shared" si="30"/>
        <v>2.4390243902438935E-2</v>
      </c>
      <c r="I46" s="302"/>
      <c r="J46" s="302"/>
      <c r="K46" s="302"/>
      <c r="L46" s="302"/>
      <c r="M46" s="108"/>
    </row>
    <row r="47" spans="1:21" ht="43.95" customHeight="1" x14ac:dyDescent="0.25">
      <c r="A47" s="277">
        <f>A45/F10/D10*1000</f>
        <v>19.444444444444443</v>
      </c>
      <c r="B47" s="265" t="s">
        <v>978</v>
      </c>
      <c r="C47" s="186" t="s">
        <v>169</v>
      </c>
      <c r="D47" s="187">
        <f>D44+D39</f>
        <v>0</v>
      </c>
      <c r="E47" s="187">
        <f>E44+E39</f>
        <v>21.831363872605831</v>
      </c>
      <c r="F47" s="187">
        <f t="shared" ref="F47:L47" si="31">F44+F39</f>
        <v>44.032750861696506</v>
      </c>
      <c r="G47" s="187">
        <f t="shared" si="31"/>
        <v>90.87166061464481</v>
      </c>
      <c r="H47" s="751">
        <f t="shared" si="31"/>
        <v>140.77406093238596</v>
      </c>
      <c r="I47" s="187">
        <f t="shared" si="31"/>
        <v>139.01928507421655</v>
      </c>
      <c r="J47" s="187">
        <f t="shared" si="31"/>
        <v>136.9324586855225</v>
      </c>
      <c r="K47" s="187">
        <f t="shared" si="31"/>
        <v>137.94200851174762</v>
      </c>
      <c r="L47" s="187">
        <f t="shared" si="31"/>
        <v>131.91554649922443</v>
      </c>
      <c r="M47" s="123"/>
      <c r="S47" s="119"/>
      <c r="T47" s="119"/>
      <c r="U47" s="119"/>
    </row>
    <row r="48" spans="1:21" ht="40.049999999999997" customHeight="1" outlineLevel="1" x14ac:dyDescent="0.25">
      <c r="B48" s="169" t="s">
        <v>950</v>
      </c>
      <c r="C48" s="120" t="s">
        <v>169</v>
      </c>
      <c r="D48" s="493">
        <f>(D39+D45)+D43+D40</f>
        <v>0.80338805761545795</v>
      </c>
      <c r="E48" s="107">
        <f>(E39+E45)</f>
        <v>27.735721971999105</v>
      </c>
      <c r="F48" s="107">
        <f t="shared" ref="F48:L48" si="32">(F39+F45)</f>
        <v>37.721363857532246</v>
      </c>
      <c r="G48" s="107">
        <f t="shared" si="32"/>
        <v>77.19794659828132</v>
      </c>
      <c r="H48" s="734">
        <f t="shared" si="32"/>
        <v>116.67452933903039</v>
      </c>
      <c r="I48" s="107">
        <f t="shared" si="32"/>
        <v>111.59117741725487</v>
      </c>
      <c r="J48" s="107">
        <f t="shared" si="32"/>
        <v>106.50782549547935</v>
      </c>
      <c r="K48" s="107">
        <f t="shared" si="32"/>
        <v>103.96614953459159</v>
      </c>
      <c r="L48" s="107">
        <f t="shared" si="32"/>
        <v>96.341121651928304</v>
      </c>
      <c r="M48" s="108"/>
      <c r="Q48" s="97" t="s">
        <v>7</v>
      </c>
    </row>
    <row r="49" spans="1:21" ht="25.95" customHeight="1" outlineLevel="1" x14ac:dyDescent="0.3">
      <c r="A49" s="274">
        <f>A50/L3</f>
        <v>0.61218985976267526</v>
      </c>
      <c r="B49" s="505" t="s">
        <v>985</v>
      </c>
      <c r="C49" s="504"/>
      <c r="D49" s="506">
        <f>((D25*$A$47)/1000)+D45</f>
        <v>0.7</v>
      </c>
      <c r="E49" s="506">
        <f>((E25*$A$47)/1000)+E45</f>
        <v>21</v>
      </c>
      <c r="F49" s="506">
        <f t="shared" ref="F49:L49" si="33">((F25*$A$47)/1000)+F45</f>
        <v>108.5</v>
      </c>
      <c r="G49" s="506">
        <f t="shared" si="33"/>
        <v>140</v>
      </c>
      <c r="H49" s="752">
        <f t="shared" si="33"/>
        <v>184.09999999999997</v>
      </c>
      <c r="I49" s="506">
        <f t="shared" si="33"/>
        <v>209.99999999999997</v>
      </c>
      <c r="J49" s="506">
        <f t="shared" si="33"/>
        <v>226.79999999999998</v>
      </c>
      <c r="K49" s="506">
        <f t="shared" si="33"/>
        <v>245</v>
      </c>
      <c r="L49" s="506">
        <f t="shared" si="33"/>
        <v>259.56</v>
      </c>
      <c r="M49" s="108"/>
    </row>
    <row r="50" spans="1:21" ht="25.95" customHeight="1" outlineLevel="1" x14ac:dyDescent="0.25">
      <c r="A50" s="274">
        <v>227</v>
      </c>
      <c r="B50" s="494" t="s">
        <v>979</v>
      </c>
      <c r="C50" s="495"/>
      <c r="D50" s="496">
        <f>D43+D47</f>
        <v>0.80338805761545795</v>
      </c>
      <c r="E50" s="496">
        <f t="shared" ref="E50:L50" si="34">E43+E47</f>
        <v>24.307638666313856</v>
      </c>
      <c r="F50" s="496">
        <f t="shared" si="34"/>
        <v>126.6537839548472</v>
      </c>
      <c r="G50" s="496">
        <f t="shared" si="34"/>
        <v>164.79755028009393</v>
      </c>
      <c r="H50" s="753">
        <f t="shared" si="34"/>
        <v>222.1264980837816</v>
      </c>
      <c r="I50" s="496">
        <f t="shared" si="34"/>
        <v>261.61611106964915</v>
      </c>
      <c r="J50" s="496">
        <f t="shared" si="34"/>
        <v>291.58685275378809</v>
      </c>
      <c r="K50" s="496">
        <f t="shared" si="34"/>
        <v>325.065343255149</v>
      </c>
      <c r="L50" s="496">
        <f t="shared" si="34"/>
        <v>355.40378461696446</v>
      </c>
      <c r="M50" s="108"/>
    </row>
    <row r="51" spans="1:21" s="309" customFormat="1" ht="25.95" customHeight="1" outlineLevel="1" x14ac:dyDescent="0.25">
      <c r="A51" s="503">
        <f>A49</f>
        <v>0.61218985976267526</v>
      </c>
      <c r="B51" s="310" t="s">
        <v>794</v>
      </c>
      <c r="C51" s="311"/>
      <c r="D51" s="312">
        <f>$A$51*D3</f>
        <v>0.61218985976267526</v>
      </c>
      <c r="E51" s="312">
        <f t="shared" ref="E51:L51" si="35">$A$51*E3</f>
        <v>18.365695792880256</v>
      </c>
      <c r="F51" s="312">
        <f t="shared" si="35"/>
        <v>94.889428263214668</v>
      </c>
      <c r="G51" s="312">
        <f t="shared" si="35"/>
        <v>122.43797195253505</v>
      </c>
      <c r="H51" s="754">
        <f t="shared" si="35"/>
        <v>161.0059331175836</v>
      </c>
      <c r="I51" s="312">
        <f t="shared" si="35"/>
        <v>183.65695792880257</v>
      </c>
      <c r="J51" s="312">
        <f t="shared" si="35"/>
        <v>198.34951456310679</v>
      </c>
      <c r="K51" s="312">
        <f t="shared" si="35"/>
        <v>214.26645091693635</v>
      </c>
      <c r="L51" s="312">
        <f t="shared" si="35"/>
        <v>227</v>
      </c>
      <c r="M51" s="503">
        <f>L51/L3</f>
        <v>0.61218985976267526</v>
      </c>
    </row>
    <row r="52" spans="1:21" ht="12.75" customHeight="1" outlineLevel="1" x14ac:dyDescent="0.25">
      <c r="A52" s="274" t="s">
        <v>221</v>
      </c>
      <c r="B52" s="246" t="s">
        <v>222</v>
      </c>
      <c r="C52" s="247" t="s">
        <v>169</v>
      </c>
      <c r="D52" s="248">
        <f>D51/D3</f>
        <v>0.61218985976267526</v>
      </c>
      <c r="E52" s="248">
        <f t="shared" ref="E52:L52" si="36">E51/E3</f>
        <v>0.61218985976267526</v>
      </c>
      <c r="F52" s="248">
        <f t="shared" si="36"/>
        <v>0.61218985976267526</v>
      </c>
      <c r="G52" s="248">
        <f t="shared" si="36"/>
        <v>0.61218985976267526</v>
      </c>
      <c r="H52" s="755">
        <f t="shared" si="36"/>
        <v>0.61218985976267526</v>
      </c>
      <c r="I52" s="248">
        <f t="shared" si="36"/>
        <v>0.61218985976267526</v>
      </c>
      <c r="J52" s="248">
        <f t="shared" si="36"/>
        <v>0.61218985976267526</v>
      </c>
      <c r="K52" s="248">
        <f t="shared" si="36"/>
        <v>0.61218985976267526</v>
      </c>
      <c r="L52" s="248">
        <f t="shared" si="36"/>
        <v>0.61218985976267526</v>
      </c>
      <c r="M52" s="108"/>
    </row>
    <row r="53" spans="1:21" ht="12.75" customHeight="1" outlineLevel="1" x14ac:dyDescent="0.25">
      <c r="B53" s="169" t="s">
        <v>223</v>
      </c>
      <c r="C53" s="97" t="s">
        <v>166</v>
      </c>
      <c r="D53" s="107">
        <f>D3*$D$52</f>
        <v>0.61218985976267526</v>
      </c>
      <c r="E53" s="107">
        <f t="shared" ref="E53:L53" si="37">E3*$D$52</f>
        <v>18.365695792880256</v>
      </c>
      <c r="F53" s="107">
        <f t="shared" si="37"/>
        <v>94.889428263214668</v>
      </c>
      <c r="G53" s="107">
        <f t="shared" si="37"/>
        <v>122.43797195253505</v>
      </c>
      <c r="H53" s="734">
        <f t="shared" si="37"/>
        <v>161.0059331175836</v>
      </c>
      <c r="I53" s="107">
        <f t="shared" si="37"/>
        <v>183.65695792880257</v>
      </c>
      <c r="J53" s="107">
        <f t="shared" si="37"/>
        <v>198.34951456310679</v>
      </c>
      <c r="K53" s="107">
        <f t="shared" si="37"/>
        <v>214.26645091693635</v>
      </c>
      <c r="L53" s="107">
        <f t="shared" si="37"/>
        <v>227</v>
      </c>
      <c r="M53" s="126"/>
      <c r="N53" s="97">
        <v>1000</v>
      </c>
    </row>
    <row r="54" spans="1:21" ht="12.75" customHeight="1" outlineLevel="1" x14ac:dyDescent="0.25">
      <c r="B54" s="169" t="s">
        <v>175</v>
      </c>
      <c r="C54" s="97" t="s">
        <v>166</v>
      </c>
      <c r="D54" s="107">
        <f t="shared" ref="D54:L54" si="38">D53-D39</f>
        <v>0.61218985976267526</v>
      </c>
      <c r="E54" s="107">
        <f t="shared" si="38"/>
        <v>9.4906557496472743</v>
      </c>
      <c r="F54" s="107">
        <f t="shared" si="38"/>
        <v>94.889428263214668</v>
      </c>
      <c r="G54" s="361">
        <f t="shared" si="38"/>
        <v>122.43797195253505</v>
      </c>
      <c r="H54" s="734">
        <f t="shared" si="38"/>
        <v>161.0059331175836</v>
      </c>
      <c r="I54" s="107">
        <f t="shared" si="38"/>
        <v>183.65695792880257</v>
      </c>
      <c r="J54" s="107">
        <f t="shared" si="38"/>
        <v>198.34951456310679</v>
      </c>
      <c r="K54" s="107">
        <f t="shared" si="38"/>
        <v>214.26645091693635</v>
      </c>
      <c r="L54" s="107">
        <f t="shared" si="38"/>
        <v>227</v>
      </c>
      <c r="M54" s="108"/>
    </row>
    <row r="55" spans="1:21" ht="12.75" customHeight="1" outlineLevel="1" x14ac:dyDescent="0.25">
      <c r="A55" s="274">
        <f>(A66+A65+A64+A63+A28)*1.07</f>
        <v>0.78110000000000002</v>
      </c>
      <c r="B55" s="169" t="s">
        <v>224</v>
      </c>
      <c r="C55" s="97" t="s">
        <v>166</v>
      </c>
      <c r="D55" s="107">
        <f t="shared" ref="D55:L55" si="39">(D53-D39)-D40</f>
        <v>0.61218985976267526</v>
      </c>
      <c r="E55" s="107">
        <f t="shared" si="39"/>
        <v>9.4906557496472743</v>
      </c>
      <c r="F55" s="107">
        <f t="shared" si="39"/>
        <v>94.889428263214668</v>
      </c>
      <c r="G55" s="361">
        <f t="shared" si="39"/>
        <v>122.43797195253505</v>
      </c>
      <c r="H55" s="734">
        <f t="shared" si="39"/>
        <v>161.0059331175836</v>
      </c>
      <c r="I55" s="107">
        <f t="shared" si="39"/>
        <v>183.65695792880257</v>
      </c>
      <c r="J55" s="107">
        <f t="shared" si="39"/>
        <v>198.34951456310679</v>
      </c>
      <c r="K55" s="107">
        <f t="shared" si="39"/>
        <v>214.26645091693635</v>
      </c>
      <c r="L55" s="107">
        <f t="shared" si="39"/>
        <v>227</v>
      </c>
      <c r="M55" s="108"/>
    </row>
    <row r="56" spans="1:21" ht="12.75" customHeight="1" x14ac:dyDescent="0.25">
      <c r="A56" s="274">
        <f>(D62+0.1)*1.05</f>
        <v>0.84</v>
      </c>
      <c r="B56" s="174" t="s">
        <v>612</v>
      </c>
      <c r="D56" s="107"/>
      <c r="E56" s="107"/>
      <c r="F56" s="107"/>
      <c r="G56" s="361"/>
      <c r="H56" s="734"/>
      <c r="I56" s="107"/>
      <c r="J56" s="107"/>
      <c r="K56" s="107"/>
      <c r="L56" s="107"/>
      <c r="M56" s="108"/>
    </row>
    <row r="57" spans="1:21" ht="12.75" customHeight="1" x14ac:dyDescent="0.25">
      <c r="A57" s="274">
        <f>(0.13+0.21+0.17+0.14+0.1)*1.07</f>
        <v>0.80249999999999999</v>
      </c>
      <c r="B57" s="169" t="s">
        <v>225</v>
      </c>
      <c r="C57" s="127">
        <f>abitabelid!I17</f>
        <v>0.35348212628212627</v>
      </c>
    </row>
    <row r="58" spans="1:21" ht="12.75" customHeight="1" x14ac:dyDescent="0.25">
      <c r="A58" s="319">
        <f>A67+A65+A64+A63+A28</f>
        <v>0.64</v>
      </c>
      <c r="B58" s="169" t="s">
        <v>177</v>
      </c>
      <c r="C58" s="97" t="s">
        <v>178</v>
      </c>
      <c r="D58" s="128">
        <f>($C$57*D11)/1000</f>
        <v>3.5348212628212626E-3</v>
      </c>
      <c r="E58" s="128">
        <f t="shared" ref="E58:L58" si="40">($C$57*E11)/1000</f>
        <v>0.10604463788463787</v>
      </c>
      <c r="F58" s="128">
        <f t="shared" si="40"/>
        <v>0.54789729573729573</v>
      </c>
      <c r="G58" s="128">
        <f t="shared" si="40"/>
        <v>0.70696425256425255</v>
      </c>
      <c r="H58" s="756">
        <f t="shared" si="40"/>
        <v>0.92965799212199218</v>
      </c>
      <c r="I58" s="128">
        <f t="shared" si="40"/>
        <v>1.0604463788463787</v>
      </c>
      <c r="J58" s="128">
        <f t="shared" si="40"/>
        <v>1.1452820891540891</v>
      </c>
      <c r="K58" s="128">
        <f t="shared" si="40"/>
        <v>1.237187441987442</v>
      </c>
      <c r="L58" s="128">
        <f t="shared" si="40"/>
        <v>1.3107117242541242</v>
      </c>
      <c r="M58" s="129"/>
      <c r="N58" s="97" t="s">
        <v>800</v>
      </c>
    </row>
    <row r="59" spans="1:21" ht="12.75" customHeight="1" x14ac:dyDescent="0.25">
      <c r="A59" s="274">
        <f>(A67+A65+A64+A63+A28)*1.07</f>
        <v>0.68480000000000008</v>
      </c>
      <c r="B59" s="168" t="s">
        <v>177</v>
      </c>
      <c r="C59" s="95" t="s">
        <v>179</v>
      </c>
      <c r="D59" s="161">
        <f>($C$57*D12)/1000</f>
        <v>1.2725356546156546E-2</v>
      </c>
      <c r="E59" s="161">
        <f t="shared" ref="E59:L59" si="41">($C$57*E12)/1000</f>
        <v>0.38176069638469634</v>
      </c>
      <c r="F59" s="161">
        <f t="shared" si="41"/>
        <v>1.9724302646542646</v>
      </c>
      <c r="G59" s="161">
        <f t="shared" si="41"/>
        <v>2.5450713092313091</v>
      </c>
      <c r="H59" s="756">
        <f t="shared" si="41"/>
        <v>3.3467687716391716</v>
      </c>
      <c r="I59" s="161">
        <f t="shared" si="41"/>
        <v>3.8176069638469641</v>
      </c>
      <c r="J59" s="161">
        <f t="shared" si="41"/>
        <v>4.1230155209547208</v>
      </c>
      <c r="K59" s="161">
        <f t="shared" si="41"/>
        <v>4.4538747911547905</v>
      </c>
      <c r="L59" s="161">
        <f t="shared" si="41"/>
        <v>4.7185622073148483</v>
      </c>
      <c r="M59" s="129"/>
    </row>
    <row r="60" spans="1:21" ht="12.75" customHeight="1" x14ac:dyDescent="0.25">
      <c r="A60" s="275">
        <f>(A63+A64)+A65</f>
        <v>0.47000000000000003</v>
      </c>
      <c r="B60" s="173" t="s">
        <v>980</v>
      </c>
      <c r="C60" s="107" t="s">
        <v>169</v>
      </c>
      <c r="D60" s="112">
        <f>D47</f>
        <v>0</v>
      </c>
      <c r="E60" s="112">
        <f t="shared" ref="E60:L60" si="42">E47</f>
        <v>21.831363872605831</v>
      </c>
      <c r="F60" s="112">
        <f t="shared" si="42"/>
        <v>44.032750861696506</v>
      </c>
      <c r="G60" s="112">
        <f t="shared" si="42"/>
        <v>90.87166061464481</v>
      </c>
      <c r="H60" s="733">
        <f t="shared" si="42"/>
        <v>140.77406093238596</v>
      </c>
      <c r="I60" s="112">
        <f t="shared" si="42"/>
        <v>139.01928507421655</v>
      </c>
      <c r="J60" s="112">
        <f t="shared" si="42"/>
        <v>136.9324586855225</v>
      </c>
      <c r="K60" s="112">
        <f t="shared" si="42"/>
        <v>137.94200851174762</v>
      </c>
      <c r="L60" s="112">
        <f t="shared" si="42"/>
        <v>131.91554649922443</v>
      </c>
      <c r="M60" s="108"/>
    </row>
    <row r="61" spans="1:21" ht="12.75" customHeight="1" x14ac:dyDescent="0.25">
      <c r="A61" s="276"/>
      <c r="B61" s="160" t="s">
        <v>608</v>
      </c>
      <c r="C61" s="107"/>
      <c r="D61" s="107"/>
      <c r="E61" s="112"/>
      <c r="F61" s="112"/>
      <c r="G61" s="360"/>
      <c r="H61" s="733"/>
      <c r="I61" s="112"/>
      <c r="J61" s="112"/>
      <c r="K61" s="112"/>
      <c r="L61" s="112"/>
      <c r="M61" s="108"/>
    </row>
    <row r="62" spans="1:21" ht="12.75" customHeight="1" x14ac:dyDescent="0.25">
      <c r="A62" s="277">
        <f>SUM(A63:A67)</f>
        <v>0.7</v>
      </c>
      <c r="B62" s="250" t="s">
        <v>723</v>
      </c>
      <c r="C62" s="261" t="s">
        <v>181</v>
      </c>
      <c r="D62" s="261">
        <f t="shared" ref="D62:L62" si="43">SUM(D63:D67)</f>
        <v>0.7</v>
      </c>
      <c r="E62" s="264">
        <f>SUM(E63:E67)</f>
        <v>21</v>
      </c>
      <c r="F62" s="264">
        <f t="shared" si="43"/>
        <v>108.5</v>
      </c>
      <c r="G62" s="373">
        <f t="shared" si="43"/>
        <v>140</v>
      </c>
      <c r="H62" s="757">
        <f t="shared" si="43"/>
        <v>184.1</v>
      </c>
      <c r="I62" s="264">
        <f t="shared" si="43"/>
        <v>210</v>
      </c>
      <c r="J62" s="264">
        <f t="shared" si="43"/>
        <v>226.8</v>
      </c>
      <c r="K62" s="264">
        <f t="shared" si="43"/>
        <v>245</v>
      </c>
      <c r="L62" s="264">
        <f t="shared" si="43"/>
        <v>259.56</v>
      </c>
      <c r="M62" s="105"/>
      <c r="S62" s="119"/>
      <c r="T62" s="119"/>
      <c r="U62" s="119"/>
    </row>
    <row r="63" spans="1:21" ht="12.75" customHeight="1" x14ac:dyDescent="0.25">
      <c r="A63" s="274">
        <v>0.15</v>
      </c>
      <c r="B63" s="283" t="s">
        <v>736</v>
      </c>
      <c r="C63" s="95" t="s">
        <v>181</v>
      </c>
      <c r="D63" s="157">
        <f>$A$63*D3</f>
        <v>0.15</v>
      </c>
      <c r="E63" s="158">
        <f t="shared" ref="E63:L63" si="44">$A$63*E3</f>
        <v>4.5</v>
      </c>
      <c r="F63" s="158">
        <f t="shared" si="44"/>
        <v>23.25</v>
      </c>
      <c r="G63" s="158">
        <f t="shared" si="44"/>
        <v>30</v>
      </c>
      <c r="H63" s="758">
        <f t="shared" si="44"/>
        <v>39.449999999999996</v>
      </c>
      <c r="I63" s="158">
        <f t="shared" si="44"/>
        <v>45</v>
      </c>
      <c r="J63" s="158">
        <f t="shared" si="44"/>
        <v>48.6</v>
      </c>
      <c r="K63" s="158">
        <f t="shared" si="44"/>
        <v>52.5</v>
      </c>
      <c r="L63" s="158">
        <f t="shared" si="44"/>
        <v>55.62</v>
      </c>
      <c r="M63" s="210" t="s">
        <v>625</v>
      </c>
      <c r="N63" s="119"/>
      <c r="O63" s="119"/>
      <c r="P63" s="119"/>
      <c r="Q63" s="119"/>
      <c r="R63" s="119"/>
    </row>
    <row r="64" spans="1:21" ht="12.75" customHeight="1" x14ac:dyDescent="0.25">
      <c r="A64" s="274">
        <v>0.14000000000000001</v>
      </c>
      <c r="B64" s="283" t="s">
        <v>590</v>
      </c>
      <c r="C64" s="95" t="s">
        <v>181</v>
      </c>
      <c r="D64" s="157">
        <f>$A$64*D3</f>
        <v>0.14000000000000001</v>
      </c>
      <c r="E64" s="158">
        <f t="shared" ref="E64:L64" si="45">$A$64*E3</f>
        <v>4.2</v>
      </c>
      <c r="F64" s="158">
        <f t="shared" si="45"/>
        <v>21.700000000000003</v>
      </c>
      <c r="G64" s="158">
        <f t="shared" si="45"/>
        <v>28.000000000000004</v>
      </c>
      <c r="H64" s="758">
        <f t="shared" si="45"/>
        <v>36.82</v>
      </c>
      <c r="I64" s="158">
        <f t="shared" si="45"/>
        <v>42.000000000000007</v>
      </c>
      <c r="J64" s="158">
        <f t="shared" si="45"/>
        <v>45.360000000000007</v>
      </c>
      <c r="K64" s="158">
        <f t="shared" si="45"/>
        <v>49.000000000000007</v>
      </c>
      <c r="L64" s="158">
        <f t="shared" si="45"/>
        <v>51.912000000000006</v>
      </c>
    </row>
    <row r="65" spans="1:18" ht="12.75" customHeight="1" x14ac:dyDescent="0.25">
      <c r="A65" s="274">
        <v>0.18</v>
      </c>
      <c r="B65" s="283" t="s">
        <v>737</v>
      </c>
      <c r="C65" s="95" t="s">
        <v>181</v>
      </c>
      <c r="D65" s="157">
        <f>$A$65*D3</f>
        <v>0.18</v>
      </c>
      <c r="E65" s="158">
        <f t="shared" ref="E65:L65" si="46">$A$65*E3</f>
        <v>5.3999999999999995</v>
      </c>
      <c r="F65" s="158">
        <f t="shared" si="46"/>
        <v>27.9</v>
      </c>
      <c r="G65" s="158">
        <f t="shared" si="46"/>
        <v>36</v>
      </c>
      <c r="H65" s="758">
        <f t="shared" si="46"/>
        <v>47.339999999999996</v>
      </c>
      <c r="I65" s="158">
        <f t="shared" si="46"/>
        <v>54</v>
      </c>
      <c r="J65" s="158">
        <f t="shared" si="46"/>
        <v>58.32</v>
      </c>
      <c r="K65" s="158">
        <f t="shared" si="46"/>
        <v>63</v>
      </c>
      <c r="L65" s="158">
        <f t="shared" si="46"/>
        <v>66.744</v>
      </c>
      <c r="M65" s="210" t="s">
        <v>626</v>
      </c>
      <c r="N65" s="97" t="s">
        <v>173</v>
      </c>
    </row>
    <row r="66" spans="1:18" ht="12.75" customHeight="1" x14ac:dyDescent="0.25">
      <c r="A66" s="274">
        <v>0.16</v>
      </c>
      <c r="B66" s="283" t="s">
        <v>738</v>
      </c>
      <c r="C66" s="95" t="s">
        <v>181</v>
      </c>
      <c r="D66" s="157">
        <f>$A$66*D3</f>
        <v>0.16</v>
      </c>
      <c r="E66" s="158">
        <f t="shared" ref="E66:L66" si="47">$A$66*E3</f>
        <v>4.8</v>
      </c>
      <c r="F66" s="158">
        <f t="shared" si="47"/>
        <v>24.8</v>
      </c>
      <c r="G66" s="158">
        <f t="shared" si="47"/>
        <v>32</v>
      </c>
      <c r="H66" s="758">
        <f t="shared" si="47"/>
        <v>42.08</v>
      </c>
      <c r="I66" s="158">
        <f t="shared" si="47"/>
        <v>48</v>
      </c>
      <c r="J66" s="158">
        <f t="shared" si="47"/>
        <v>51.84</v>
      </c>
      <c r="K66" s="158">
        <f t="shared" si="47"/>
        <v>56</v>
      </c>
      <c r="L66" s="158">
        <f t="shared" si="47"/>
        <v>59.328000000000003</v>
      </c>
      <c r="M66" s="210"/>
    </row>
    <row r="67" spans="1:18" ht="13.2" x14ac:dyDescent="0.25">
      <c r="A67" s="274">
        <v>7.0000000000000007E-2</v>
      </c>
      <c r="B67" s="283" t="s">
        <v>735</v>
      </c>
      <c r="C67" s="95" t="s">
        <v>181</v>
      </c>
      <c r="D67" s="157">
        <f>$A$67*D3</f>
        <v>7.0000000000000007E-2</v>
      </c>
      <c r="E67" s="158">
        <f t="shared" ref="E67:L67" si="48">$A$67*E3</f>
        <v>2.1</v>
      </c>
      <c r="F67" s="158">
        <f t="shared" si="48"/>
        <v>10.850000000000001</v>
      </c>
      <c r="G67" s="158">
        <f t="shared" si="48"/>
        <v>14.000000000000002</v>
      </c>
      <c r="H67" s="758">
        <f t="shared" si="48"/>
        <v>18.41</v>
      </c>
      <c r="I67" s="158">
        <f t="shared" si="48"/>
        <v>21.000000000000004</v>
      </c>
      <c r="J67" s="158">
        <f t="shared" si="48"/>
        <v>22.680000000000003</v>
      </c>
      <c r="K67" s="158">
        <f t="shared" si="48"/>
        <v>24.500000000000004</v>
      </c>
      <c r="L67" s="158">
        <f t="shared" si="48"/>
        <v>25.956000000000003</v>
      </c>
      <c r="M67" s="252" t="s">
        <v>721</v>
      </c>
      <c r="N67" s="115" t="e">
        <f>124/L16</f>
        <v>#DIV/0!</v>
      </c>
      <c r="O67" s="97" t="e">
        <f>N67*L16</f>
        <v>#DIV/0!</v>
      </c>
      <c r="P67" s="115">
        <f>SUM(D67:L67)</f>
        <v>139.56600000000003</v>
      </c>
    </row>
    <row r="68" spans="1:18" ht="22.95" customHeight="1" x14ac:dyDescent="0.3">
      <c r="A68" s="274">
        <f>SUM(A63:A67)</f>
        <v>0.7</v>
      </c>
      <c r="B68" s="307" t="s">
        <v>917</v>
      </c>
      <c r="C68" s="97" t="s">
        <v>181</v>
      </c>
      <c r="D68" s="112">
        <f>((D30*D18)*1000)/1000000</f>
        <v>0</v>
      </c>
      <c r="E68" s="112">
        <f t="shared" ref="E68:L68" si="49">((E30*E18)*1000)/1000000</f>
        <v>21.831363872605831</v>
      </c>
      <c r="F68" s="112">
        <f t="shared" si="49"/>
        <v>44.032750861696506</v>
      </c>
      <c r="G68" s="112">
        <f t="shared" si="49"/>
        <v>90.871660614644796</v>
      </c>
      <c r="H68" s="733">
        <f t="shared" si="49"/>
        <v>140.77406093238599</v>
      </c>
      <c r="I68" s="112">
        <f t="shared" si="49"/>
        <v>139.01928507421655</v>
      </c>
      <c r="J68" s="112">
        <f t="shared" si="49"/>
        <v>136.9324586855225</v>
      </c>
      <c r="K68" s="112">
        <f t="shared" si="49"/>
        <v>137.94200851174759</v>
      </c>
      <c r="L68" s="112">
        <f t="shared" si="49"/>
        <v>131.91554649922443</v>
      </c>
      <c r="M68" s="209"/>
      <c r="P68" s="115">
        <f>SUM(D68:L68)</f>
        <v>843.31913505204432</v>
      </c>
    </row>
    <row r="69" spans="1:18" ht="12.75" customHeight="1" x14ac:dyDescent="0.25">
      <c r="B69" s="169" t="s">
        <v>918</v>
      </c>
      <c r="C69" s="97" t="s">
        <v>181</v>
      </c>
      <c r="D69" s="112">
        <f>D62*D1</f>
        <v>0.7</v>
      </c>
      <c r="E69" s="112">
        <f t="shared" ref="E69:L69" si="50">E62*E1</f>
        <v>18.860681928766123</v>
      </c>
      <c r="F69" s="112">
        <f t="shared" si="50"/>
        <v>37.721363857532239</v>
      </c>
      <c r="G69" s="112">
        <f t="shared" si="50"/>
        <v>77.197946598281334</v>
      </c>
      <c r="H69" s="733">
        <f t="shared" si="50"/>
        <v>116.6745293390304</v>
      </c>
      <c r="I69" s="112">
        <f t="shared" si="50"/>
        <v>111.59117741725488</v>
      </c>
      <c r="J69" s="112">
        <f t="shared" si="50"/>
        <v>106.50782549547937</v>
      </c>
      <c r="K69" s="112">
        <f t="shared" si="50"/>
        <v>103.96614953459161</v>
      </c>
      <c r="L69" s="112">
        <f t="shared" si="50"/>
        <v>96.341121651928319</v>
      </c>
      <c r="M69" s="353" t="s">
        <v>129</v>
      </c>
      <c r="P69" s="115">
        <f>SUM(D69:L69)</f>
        <v>669.56079582286429</v>
      </c>
    </row>
    <row r="70" spans="1:18" ht="12.75" customHeight="1" x14ac:dyDescent="0.25">
      <c r="A70" s="274" t="s">
        <v>227</v>
      </c>
      <c r="B70" s="130" t="s">
        <v>189</v>
      </c>
      <c r="C70" s="97" t="s">
        <v>7</v>
      </c>
      <c r="D70" s="143"/>
      <c r="E70" s="143"/>
      <c r="F70" s="143"/>
      <c r="G70" s="374"/>
      <c r="H70" s="759"/>
      <c r="I70" s="143"/>
      <c r="J70" s="143"/>
      <c r="K70" s="143"/>
      <c r="L70" s="143"/>
      <c r="M70" s="131"/>
    </row>
    <row r="71" spans="1:18" ht="12.75" customHeight="1" x14ac:dyDescent="0.25">
      <c r="A71" s="278">
        <f>abitabelid!D33</f>
        <v>848392</v>
      </c>
      <c r="B71" s="168" t="s">
        <v>190</v>
      </c>
      <c r="C71" s="163" t="s">
        <v>181</v>
      </c>
      <c r="D71" s="164">
        <f>($A$71*D4)/1000000</f>
        <v>0.84839200000000003</v>
      </c>
      <c r="E71" s="164">
        <f t="shared" ref="E71:L71" si="51">($A$71*E4)/1000000</f>
        <v>24.603368</v>
      </c>
      <c r="F71" s="164">
        <f t="shared" si="51"/>
        <v>21.209800000000001</v>
      </c>
      <c r="G71" s="164">
        <f t="shared" si="51"/>
        <v>7.6355279999999999</v>
      </c>
      <c r="H71" s="760">
        <f t="shared" si="51"/>
        <v>10.6897392</v>
      </c>
      <c r="I71" s="164">
        <f t="shared" si="51"/>
        <v>6.2781008000000007</v>
      </c>
      <c r="J71" s="164">
        <f t="shared" si="51"/>
        <v>4.0722815999999993</v>
      </c>
      <c r="K71" s="164">
        <f t="shared" si="51"/>
        <v>4.4116384000000002</v>
      </c>
      <c r="L71" s="164">
        <f t="shared" si="51"/>
        <v>3.5293107200000016</v>
      </c>
      <c r="M71" s="391" t="s">
        <v>842</v>
      </c>
      <c r="N71" s="144">
        <f>SUM(D71:L71)</f>
        <v>83.278158720000008</v>
      </c>
      <c r="O71" s="112">
        <f>SUM(D71:F71)</f>
        <v>46.661560000000001</v>
      </c>
    </row>
    <row r="72" spans="1:18" ht="12.75" customHeight="1" x14ac:dyDescent="0.25">
      <c r="A72" s="278">
        <f>abitabelid!D30</f>
        <v>2827440</v>
      </c>
      <c r="B72" s="168" t="s">
        <v>192</v>
      </c>
      <c r="C72" s="95" t="s">
        <v>181</v>
      </c>
      <c r="D72" s="164">
        <f>($A$72*D4)/1000000</f>
        <v>2.8274400000000002</v>
      </c>
      <c r="E72" s="164">
        <f t="shared" ref="E72:L72" si="52">($A$72*E4)/1000000</f>
        <v>81.995760000000004</v>
      </c>
      <c r="F72" s="164">
        <f t="shared" si="52"/>
        <v>70.686000000000007</v>
      </c>
      <c r="G72" s="164">
        <f t="shared" si="52"/>
        <v>25.446960000000001</v>
      </c>
      <c r="H72" s="760">
        <f t="shared" si="52"/>
        <v>35.625743999999997</v>
      </c>
      <c r="I72" s="164">
        <f t="shared" si="52"/>
        <v>20.923055999999999</v>
      </c>
      <c r="J72" s="164">
        <f t="shared" si="52"/>
        <v>13.571712</v>
      </c>
      <c r="K72" s="164">
        <f t="shared" si="52"/>
        <v>14.702688</v>
      </c>
      <c r="L72" s="164">
        <f t="shared" si="52"/>
        <v>11.762150400000007</v>
      </c>
      <c r="M72" s="391" t="s">
        <v>841</v>
      </c>
      <c r="N72" s="112">
        <f>SUM(D72:L72)</f>
        <v>277.54151039999999</v>
      </c>
      <c r="O72" s="112">
        <f>SUM(D72:F72)</f>
        <v>155.50920000000002</v>
      </c>
    </row>
    <row r="73" spans="1:18" ht="12.75" customHeight="1" x14ac:dyDescent="0.25">
      <c r="A73" s="278">
        <f>abitabelid!D36</f>
        <v>500000</v>
      </c>
      <c r="B73" s="168" t="s">
        <v>193</v>
      </c>
      <c r="C73" s="95" t="s">
        <v>181</v>
      </c>
      <c r="D73" s="165">
        <f>($A$73*D2)/1000000</f>
        <v>0.5</v>
      </c>
      <c r="E73" s="165">
        <f t="shared" ref="E73:H73" si="53">($A$73*E2)/1000000</f>
        <v>13.471915663404372</v>
      </c>
      <c r="F73" s="165">
        <f t="shared" si="53"/>
        <v>26.943831326808745</v>
      </c>
      <c r="G73" s="165">
        <f t="shared" si="53"/>
        <v>55.141390427343801</v>
      </c>
      <c r="H73" s="165">
        <f t="shared" si="53"/>
        <v>83.338949527878853</v>
      </c>
      <c r="I73" s="165">
        <v>0</v>
      </c>
      <c r="J73" s="165">
        <v>0</v>
      </c>
      <c r="K73" s="165">
        <v>0</v>
      </c>
      <c r="L73" s="165">
        <v>0</v>
      </c>
      <c r="M73" s="391" t="s">
        <v>841</v>
      </c>
      <c r="N73" s="112">
        <f>SUM(D73:L73)</f>
        <v>179.39608694543577</v>
      </c>
      <c r="O73" s="97">
        <f>N73/A73*1000000</f>
        <v>358.79217389087154</v>
      </c>
      <c r="P73" s="112">
        <f>O71+O72</f>
        <v>202.17076000000003</v>
      </c>
    </row>
    <row r="74" spans="1:18" ht="12.75" customHeight="1" x14ac:dyDescent="0.25">
      <c r="A74" s="278"/>
      <c r="B74" s="955" t="s">
        <v>1225</v>
      </c>
      <c r="C74" s="249" t="s">
        <v>166</v>
      </c>
      <c r="D74" s="165">
        <f>D73</f>
        <v>0.5</v>
      </c>
      <c r="E74" s="96">
        <f>E73-D73</f>
        <v>12.971915663404372</v>
      </c>
      <c r="F74" s="96">
        <f t="shared" ref="F74:G74" si="54">F73-E73</f>
        <v>13.471915663404372</v>
      </c>
      <c r="G74" s="96">
        <f t="shared" si="54"/>
        <v>28.197559100535056</v>
      </c>
      <c r="H74" s="96">
        <f t="shared" ref="H74" si="55">H73-G73</f>
        <v>28.197559100535052</v>
      </c>
      <c r="I74" s="96">
        <v>0</v>
      </c>
      <c r="J74" s="96">
        <v>0</v>
      </c>
      <c r="K74" s="96">
        <f t="shared" ref="K74" si="56">K73-J73</f>
        <v>0</v>
      </c>
      <c r="L74" s="96">
        <f t="shared" ref="L74" si="57">L73-K73</f>
        <v>0</v>
      </c>
      <c r="M74" s="391"/>
      <c r="N74" s="112"/>
      <c r="P74" s="112"/>
    </row>
    <row r="75" spans="1:18" ht="12.75" customHeight="1" x14ac:dyDescent="0.25">
      <c r="A75" s="275">
        <f>abitabelid!D48</f>
        <v>369940.17094017094</v>
      </c>
      <c r="B75" s="168" t="s">
        <v>194</v>
      </c>
      <c r="C75" s="95" t="s">
        <v>181</v>
      </c>
      <c r="D75" s="165">
        <f>($A$75*D2)/1000000</f>
        <v>0.36994017094017095</v>
      </c>
      <c r="E75" s="165">
        <f t="shared" ref="E75:H75" si="58">($A$75*E2)/1000000</f>
        <v>9.9676055668227601</v>
      </c>
      <c r="F75" s="165">
        <f t="shared" si="58"/>
        <v>19.93521113364552</v>
      </c>
      <c r="G75" s="165">
        <f t="shared" si="58"/>
        <v>40.798030801140541</v>
      </c>
      <c r="H75" s="165">
        <f t="shared" si="58"/>
        <v>61.660850468635559</v>
      </c>
      <c r="I75" s="165">
        <v>0</v>
      </c>
      <c r="J75" s="165">
        <v>0</v>
      </c>
      <c r="K75" s="165">
        <v>0</v>
      </c>
      <c r="L75" s="165">
        <v>0</v>
      </c>
      <c r="M75" s="391" t="s">
        <v>842</v>
      </c>
      <c r="N75" s="112">
        <f>SUM(D75:L75)</f>
        <v>132.73163814118453</v>
      </c>
      <c r="P75" s="115">
        <f>P73*G78</f>
        <v>11206.308281309392</v>
      </c>
    </row>
    <row r="76" spans="1:18" ht="12.75" customHeight="1" x14ac:dyDescent="0.25">
      <c r="A76" s="275"/>
      <c r="B76" s="955" t="s">
        <v>1226</v>
      </c>
      <c r="C76" s="249" t="s">
        <v>166</v>
      </c>
      <c r="D76" s="165">
        <f>D75</f>
        <v>0.36994017094017095</v>
      </c>
      <c r="E76" s="96">
        <f>E75-D75</f>
        <v>9.5976653958825899</v>
      </c>
      <c r="F76" s="96">
        <f t="shared" ref="F76" si="59">F75-E75</f>
        <v>9.9676055668227601</v>
      </c>
      <c r="G76" s="96">
        <f t="shared" ref="G76:H76" si="60">G75-F75</f>
        <v>20.862819667495021</v>
      </c>
      <c r="H76" s="96">
        <f t="shared" si="60"/>
        <v>20.862819667495017</v>
      </c>
      <c r="I76" s="165">
        <v>0</v>
      </c>
      <c r="J76" s="165">
        <v>0</v>
      </c>
      <c r="K76" s="165">
        <v>0</v>
      </c>
      <c r="L76" s="165">
        <v>0</v>
      </c>
      <c r="M76" s="391"/>
      <c r="N76" s="112"/>
      <c r="P76" s="115"/>
    </row>
    <row r="77" spans="1:18" ht="12.75" customHeight="1" x14ac:dyDescent="0.25">
      <c r="A77" s="319">
        <f>D73+E73+F73+G73</f>
        <v>96.057137417556916</v>
      </c>
      <c r="B77" s="97">
        <f>A77*1000000/A73</f>
        <v>192.11427483511383</v>
      </c>
      <c r="E77" s="227">
        <f>E73/M77</f>
        <v>0.14098283003744677</v>
      </c>
      <c r="F77" s="227">
        <f>F73/M77</f>
        <v>0.28196566007489354</v>
      </c>
      <c r="G77" s="500">
        <f>G73/M77</f>
        <v>0.57705150988765974</v>
      </c>
      <c r="H77" s="761"/>
      <c r="M77" s="132">
        <f>E73+F73+G73</f>
        <v>95.557137417556916</v>
      </c>
      <c r="N77" s="133">
        <f>SUM(N71:N75)</f>
        <v>672.9473942066204</v>
      </c>
      <c r="O77" s="119"/>
      <c r="P77" s="119"/>
      <c r="Q77" s="119"/>
      <c r="R77" s="119"/>
    </row>
    <row r="78" spans="1:18" ht="12.75" customHeight="1" x14ac:dyDescent="0.25">
      <c r="A78" s="275">
        <f>E78+F78+G78</f>
        <v>96.057137417556916</v>
      </c>
      <c r="B78" s="97" t="s">
        <v>967</v>
      </c>
      <c r="C78" s="97" t="s">
        <v>7</v>
      </c>
      <c r="E78" s="396">
        <f>A77*E77</f>
        <v>13.542407078423095</v>
      </c>
      <c r="F78" s="396">
        <f>A77*F77</f>
        <v>27.084814156846189</v>
      </c>
      <c r="G78" s="372">
        <f>A77*G77</f>
        <v>55.429916182287634</v>
      </c>
      <c r="H78" s="761" t="s">
        <v>800</v>
      </c>
      <c r="M78" s="131"/>
    </row>
    <row r="79" spans="1:18" ht="12.75" customHeight="1" x14ac:dyDescent="0.25">
      <c r="A79" s="275">
        <f>E80+F80+G80</f>
        <v>27.3206952136719</v>
      </c>
      <c r="B79" s="938">
        <f>A79*1000000/A73</f>
        <v>54.641390427343801</v>
      </c>
      <c r="C79" s="97" t="s">
        <v>7</v>
      </c>
      <c r="E79" s="116">
        <f>A80</f>
        <v>0.5</v>
      </c>
      <c r="F79" s="116">
        <f>E79</f>
        <v>0.5</v>
      </c>
      <c r="G79" s="116">
        <f>F79</f>
        <v>0.5</v>
      </c>
      <c r="H79" s="761">
        <v>0.5</v>
      </c>
      <c r="M79" s="131"/>
    </row>
    <row r="80" spans="1:18" s="408" customFormat="1" ht="25.05" customHeight="1" x14ac:dyDescent="0.25">
      <c r="A80" s="407">
        <v>0.5</v>
      </c>
      <c r="B80" s="408" t="s">
        <v>1208</v>
      </c>
      <c r="C80" s="408" t="s">
        <v>181</v>
      </c>
      <c r="D80" s="409">
        <f>D73*$A$80</f>
        <v>0.25</v>
      </c>
      <c r="E80" s="409">
        <f t="shared" ref="E80:G80" si="61">E79*E74</f>
        <v>6.4859578317021862</v>
      </c>
      <c r="F80" s="409">
        <f t="shared" si="61"/>
        <v>6.7359578317021862</v>
      </c>
      <c r="G80" s="409">
        <f t="shared" si="61"/>
        <v>14.098779550267528</v>
      </c>
      <c r="H80" s="409">
        <f>H79*H74</f>
        <v>14.098779550267526</v>
      </c>
      <c r="M80" s="411">
        <f>SUM(D84:D87)</f>
        <v>691.62165364797158</v>
      </c>
      <c r="N80" s="408">
        <v>2010</v>
      </c>
    </row>
    <row r="81" spans="1:16" ht="12.75" customHeight="1" x14ac:dyDescent="0.25">
      <c r="B81" s="97" t="s">
        <v>7</v>
      </c>
      <c r="C81" s="97" t="s">
        <v>7</v>
      </c>
      <c r="M81" s="132">
        <f>SUM(E84:E87)</f>
        <v>20748.649609439148</v>
      </c>
      <c r="N81" s="97">
        <v>2015</v>
      </c>
    </row>
    <row r="82" spans="1:16" ht="12.75" customHeight="1" x14ac:dyDescent="0.25">
      <c r="B82" s="130" t="s">
        <v>195</v>
      </c>
      <c r="M82" s="132">
        <f>SUM(F84:F87)</f>
        <v>107201.35631543558</v>
      </c>
      <c r="N82" s="97">
        <v>2020</v>
      </c>
    </row>
    <row r="83" spans="1:16" s="252" customFormat="1" ht="12.75" customHeight="1" x14ac:dyDescent="0.25">
      <c r="A83" s="252" t="s">
        <v>199</v>
      </c>
      <c r="B83" s="252" t="s">
        <v>200</v>
      </c>
      <c r="C83" s="252" t="s">
        <v>201</v>
      </c>
      <c r="D83" s="272">
        <f>D3/$O$84</f>
        <v>0.27548209366391185</v>
      </c>
      <c r="E83" s="272">
        <f t="shared" ref="E83:L83" si="62">E3/$O$84</f>
        <v>8.2644628099173563</v>
      </c>
      <c r="F83" s="272">
        <f t="shared" si="62"/>
        <v>42.69972451790634</v>
      </c>
      <c r="G83" s="272">
        <f t="shared" si="62"/>
        <v>55.096418732782368</v>
      </c>
      <c r="H83" s="762">
        <f t="shared" si="62"/>
        <v>72.451790633608823</v>
      </c>
      <c r="I83" s="272">
        <f t="shared" si="62"/>
        <v>82.644628099173559</v>
      </c>
      <c r="J83" s="272">
        <f t="shared" si="62"/>
        <v>89.256198347107443</v>
      </c>
      <c r="K83" s="272">
        <f t="shared" si="62"/>
        <v>96.418732782369148</v>
      </c>
      <c r="L83" s="272">
        <f t="shared" si="62"/>
        <v>102.14876033057851</v>
      </c>
      <c r="M83" s="392">
        <f>SUM(G84:G87)</f>
        <v>138324.33072959431</v>
      </c>
      <c r="N83" s="252">
        <v>2025</v>
      </c>
      <c r="O83" s="252" t="s">
        <v>228</v>
      </c>
    </row>
    <row r="84" spans="1:16" ht="12.75" customHeight="1" x14ac:dyDescent="0.25">
      <c r="A84" s="276">
        <f>abitabelid!F66</f>
        <v>1255.5000030718379</v>
      </c>
      <c r="B84" s="95" t="s">
        <v>202</v>
      </c>
      <c r="C84" s="95" t="s">
        <v>196</v>
      </c>
      <c r="D84" s="165">
        <f t="shared" ref="D84" si="63">(D83*1000000)/$A$84</f>
        <v>219.42022540015014</v>
      </c>
      <c r="E84" s="165">
        <f t="shared" ref="E84:L84" si="64">(E83*1000000)/$A$84</f>
        <v>6582.6067620045042</v>
      </c>
      <c r="F84" s="165">
        <f t="shared" si="64"/>
        <v>34010.134937023271</v>
      </c>
      <c r="G84" s="165">
        <f t="shared" si="64"/>
        <v>43884.045080030024</v>
      </c>
      <c r="H84" s="733">
        <f t="shared" si="64"/>
        <v>57707.519280239481</v>
      </c>
      <c r="I84" s="165">
        <f t="shared" si="64"/>
        <v>65826.06762004504</v>
      </c>
      <c r="J84" s="165">
        <f t="shared" si="64"/>
        <v>71092.153029648645</v>
      </c>
      <c r="K84" s="165">
        <f t="shared" si="64"/>
        <v>76797.078890052551</v>
      </c>
      <c r="L84" s="165">
        <f t="shared" si="64"/>
        <v>81361.019578375664</v>
      </c>
      <c r="M84" s="136">
        <f>SUM(L84:L87)</f>
        <v>256453.30917266785</v>
      </c>
      <c r="N84" s="97">
        <v>2050</v>
      </c>
      <c r="O84" s="115">
        <v>3.63</v>
      </c>
      <c r="P84" s="112">
        <f>L84+L85</f>
        <v>177563.13719059183</v>
      </c>
    </row>
    <row r="85" spans="1:16" s="252" customFormat="1" ht="12.75" customHeight="1" x14ac:dyDescent="0.25">
      <c r="B85" s="252" t="s">
        <v>203</v>
      </c>
      <c r="C85" s="252" t="s">
        <v>196</v>
      </c>
      <c r="D85" s="353">
        <f>((D3/$O$85)*1000000)/$A$84</f>
        <v>259.44476162949348</v>
      </c>
      <c r="E85" s="353">
        <f t="shared" ref="E85:L85" si="65">((E3/$O$85)*1000000)/$A$84</f>
        <v>7783.3428488848049</v>
      </c>
      <c r="F85" s="353">
        <f t="shared" si="65"/>
        <v>40213.938052571488</v>
      </c>
      <c r="G85" s="353">
        <f t="shared" si="65"/>
        <v>51888.952325898696</v>
      </c>
      <c r="H85" s="763">
        <f t="shared" si="65"/>
        <v>68233.972308556782</v>
      </c>
      <c r="I85" s="353">
        <f t="shared" si="65"/>
        <v>77833.428488848047</v>
      </c>
      <c r="J85" s="353">
        <f t="shared" si="65"/>
        <v>84060.10276795589</v>
      </c>
      <c r="K85" s="353">
        <f t="shared" si="65"/>
        <v>90805.666570322719</v>
      </c>
      <c r="L85" s="353">
        <f t="shared" si="65"/>
        <v>96202.117612216185</v>
      </c>
      <c r="M85" s="393">
        <f>SUM(K84:K87)</f>
        <v>242067.57877679003</v>
      </c>
      <c r="N85" s="394">
        <v>2045</v>
      </c>
      <c r="O85" s="248">
        <v>3.07</v>
      </c>
    </row>
    <row r="86" spans="1:16" ht="12.75" customHeight="1" x14ac:dyDescent="0.25">
      <c r="A86" s="274">
        <f>abitabelid!L69</f>
        <v>578.33999999999992</v>
      </c>
      <c r="B86" s="95" t="s">
        <v>204</v>
      </c>
      <c r="C86" s="95" t="s">
        <v>196</v>
      </c>
      <c r="D86" s="165">
        <f>((D3/$O$86)*1000000)/$A$86</f>
        <v>67.410787384286863</v>
      </c>
      <c r="E86" s="165">
        <f t="shared" ref="E86:L86" si="66">((E3/$O$86)*1000000)/$A$86</f>
        <v>2022.3236215286063</v>
      </c>
      <c r="F86" s="165">
        <f t="shared" si="66"/>
        <v>10448.672044564464</v>
      </c>
      <c r="G86" s="165">
        <f t="shared" si="66"/>
        <v>13482.157476857374</v>
      </c>
      <c r="H86" s="733">
        <f t="shared" si="66"/>
        <v>17729.037082067447</v>
      </c>
      <c r="I86" s="165">
        <f t="shared" si="66"/>
        <v>20223.236215286059</v>
      </c>
      <c r="J86" s="165">
        <f t="shared" si="66"/>
        <v>21841.095112508945</v>
      </c>
      <c r="K86" s="165">
        <f t="shared" si="66"/>
        <v>23593.775584500407</v>
      </c>
      <c r="L86" s="165">
        <f t="shared" si="66"/>
        <v>24995.919962093572</v>
      </c>
      <c r="M86" s="136">
        <f>SUM(J84:J87)</f>
        <v>224085.41578194278</v>
      </c>
      <c r="N86" s="112">
        <v>2040</v>
      </c>
      <c r="O86" s="115">
        <v>25.65</v>
      </c>
    </row>
    <row r="87" spans="1:16" ht="12.75" customHeight="1" x14ac:dyDescent="0.25">
      <c r="B87" s="97" t="s">
        <v>988</v>
      </c>
      <c r="C87" s="97" t="s">
        <v>196</v>
      </c>
      <c r="D87" s="112">
        <f>((D3/$O$87)*1000000)/$A$84</f>
        <v>145.34587923404104</v>
      </c>
      <c r="E87" s="112">
        <f t="shared" ref="E87:L87" si="67">((E3/$O$87)*1000000)/$A$84</f>
        <v>4360.3763770212308</v>
      </c>
      <c r="F87" s="112">
        <f t="shared" si="67"/>
        <v>22528.61128127636</v>
      </c>
      <c r="G87" s="112">
        <f t="shared" si="67"/>
        <v>29069.175846808201</v>
      </c>
      <c r="H87" s="733">
        <f t="shared" si="67"/>
        <v>38225.966238552792</v>
      </c>
      <c r="I87" s="112">
        <f t="shared" si="67"/>
        <v>43603.76377021231</v>
      </c>
      <c r="J87" s="112">
        <f t="shared" si="67"/>
        <v>47092.064871829301</v>
      </c>
      <c r="K87" s="112">
        <f t="shared" si="67"/>
        <v>50871.057731914363</v>
      </c>
      <c r="L87" s="112">
        <f t="shared" si="67"/>
        <v>53894.252019982421</v>
      </c>
      <c r="M87" s="108">
        <f>SUM(I84:I87)</f>
        <v>207486.49609439145</v>
      </c>
      <c r="N87" s="112">
        <v>2035</v>
      </c>
      <c r="O87" s="115">
        <v>5.48</v>
      </c>
    </row>
    <row r="88" spans="1:16" ht="12.75" customHeight="1" x14ac:dyDescent="0.25">
      <c r="A88" s="279">
        <f>A90+A89</f>
        <v>5.2611942384542087E-2</v>
      </c>
      <c r="M88" s="113">
        <f>SUM(H84:H87)</f>
        <v>181896.49490941651</v>
      </c>
      <c r="N88" s="97">
        <v>2030</v>
      </c>
      <c r="O88" s="97" t="s">
        <v>7</v>
      </c>
    </row>
    <row r="89" spans="1:16" ht="24" customHeight="1" x14ac:dyDescent="0.25">
      <c r="A89" s="279">
        <f>abitabelid!C158</f>
        <v>1.9038130387644455E-2</v>
      </c>
      <c r="B89" s="304" t="s">
        <v>851</v>
      </c>
      <c r="C89" s="95" t="s">
        <v>166</v>
      </c>
      <c r="D89" s="96">
        <f>($A$89*D3)+D90</f>
        <v>5.2611942384542087E-2</v>
      </c>
      <c r="E89" s="96">
        <f t="shared" ref="E89:L89" si="68">($A$89*E3)+E90</f>
        <v>1.5783582715362625</v>
      </c>
      <c r="F89" s="96">
        <f t="shared" si="68"/>
        <v>8.1548510696040246</v>
      </c>
      <c r="G89" s="96">
        <f t="shared" si="68"/>
        <v>10.522388476908418</v>
      </c>
      <c r="H89" s="734">
        <f t="shared" si="68"/>
        <v>13.836940847134571</v>
      </c>
      <c r="I89" s="96">
        <f t="shared" si="68"/>
        <v>15.783582715362627</v>
      </c>
      <c r="J89" s="96">
        <f t="shared" si="68"/>
        <v>17.046269332591638</v>
      </c>
      <c r="K89" s="96">
        <f t="shared" si="68"/>
        <v>18.414179834589731</v>
      </c>
      <c r="L89" s="96">
        <f t="shared" si="68"/>
        <v>19.508508236188209</v>
      </c>
      <c r="M89" s="134" t="s">
        <v>712</v>
      </c>
      <c r="N89" s="107">
        <f>E89+F89+G89</f>
        <v>20.255597818048706</v>
      </c>
    </row>
    <row r="90" spans="1:16" s="293" customFormat="1" ht="27" customHeight="1" x14ac:dyDescent="0.25">
      <c r="A90" s="289">
        <f>abitabelid!C189</f>
        <v>3.3573811996897636E-2</v>
      </c>
      <c r="B90" s="290" t="s">
        <v>1205</v>
      </c>
      <c r="C90" s="95" t="s">
        <v>166</v>
      </c>
      <c r="D90" s="291">
        <f>$A$90*D3</f>
        <v>3.3573811996897636E-2</v>
      </c>
      <c r="E90" s="291">
        <f t="shared" ref="E90:L90" si="69">$A$90*E3</f>
        <v>1.007214359906929</v>
      </c>
      <c r="F90" s="291">
        <f t="shared" si="69"/>
        <v>5.2039408595191334</v>
      </c>
      <c r="G90" s="291">
        <f t="shared" si="69"/>
        <v>6.7147623993795271</v>
      </c>
      <c r="H90" s="754">
        <f t="shared" si="69"/>
        <v>8.8299125551840785</v>
      </c>
      <c r="I90" s="291">
        <f t="shared" si="69"/>
        <v>10.072143599069291</v>
      </c>
      <c r="J90" s="291">
        <f t="shared" si="69"/>
        <v>10.877915086994834</v>
      </c>
      <c r="K90" s="291">
        <f t="shared" si="69"/>
        <v>11.750834198914173</v>
      </c>
      <c r="L90" s="291">
        <f t="shared" si="69"/>
        <v>12.449169488449645</v>
      </c>
      <c r="M90" s="292"/>
    </row>
    <row r="91" spans="1:16" ht="12.75" customHeight="1" x14ac:dyDescent="0.25">
      <c r="A91" s="280">
        <f>-abitabelid!B154</f>
        <v>-2851.1502916693971</v>
      </c>
      <c r="B91" s="97" t="s">
        <v>208</v>
      </c>
      <c r="C91" s="97" t="s">
        <v>209</v>
      </c>
      <c r="D91" s="112">
        <f t="shared" ref="D91:L91" si="70">$A$91*D3</f>
        <v>-2851.1502916693971</v>
      </c>
      <c r="E91" s="112">
        <f t="shared" si="70"/>
        <v>-85534.508750081906</v>
      </c>
      <c r="F91" s="112">
        <f t="shared" si="70"/>
        <v>-441928.29520875658</v>
      </c>
      <c r="G91" s="360">
        <f t="shared" si="70"/>
        <v>-570230.05833387945</v>
      </c>
      <c r="H91" s="733">
        <f t="shared" si="70"/>
        <v>-749852.52670905145</v>
      </c>
      <c r="I91" s="112">
        <f t="shared" si="70"/>
        <v>-855345.08750081912</v>
      </c>
      <c r="J91" s="112">
        <f t="shared" si="70"/>
        <v>-923772.69450088462</v>
      </c>
      <c r="K91" s="112">
        <f t="shared" si="70"/>
        <v>-997902.60208428896</v>
      </c>
      <c r="L91" s="112">
        <f t="shared" si="70"/>
        <v>-1057206.5281510125</v>
      </c>
      <c r="M91" s="108" t="s">
        <v>713</v>
      </c>
    </row>
    <row r="92" spans="1:16" ht="12.75" customHeight="1" x14ac:dyDescent="0.25">
      <c r="A92" s="280">
        <f>abitabelid!F154</f>
        <v>1568.1326604181686</v>
      </c>
      <c r="B92" s="97" t="s">
        <v>7</v>
      </c>
      <c r="E92" s="112">
        <f t="shared" ref="E92:L92" si="71">$A$92*E3</f>
        <v>47043.979812545062</v>
      </c>
      <c r="F92" s="112">
        <f t="shared" si="71"/>
        <v>243060.56236481614</v>
      </c>
      <c r="G92" s="360">
        <f t="shared" si="71"/>
        <v>313626.53208363371</v>
      </c>
      <c r="H92" s="733">
        <f t="shared" si="71"/>
        <v>412418.88968997833</v>
      </c>
      <c r="I92" s="112">
        <f t="shared" si="71"/>
        <v>470439.79812545056</v>
      </c>
      <c r="J92" s="112">
        <f t="shared" si="71"/>
        <v>508074.98197548662</v>
      </c>
      <c r="K92" s="112">
        <f t="shared" si="71"/>
        <v>548846.43114635895</v>
      </c>
      <c r="L92" s="112">
        <f t="shared" si="71"/>
        <v>581463.59048305696</v>
      </c>
      <c r="M92" s="108"/>
    </row>
    <row r="93" spans="1:16" ht="12.75" customHeight="1" x14ac:dyDescent="0.25">
      <c r="A93" s="274" t="s">
        <v>211</v>
      </c>
    </row>
    <row r="94" spans="1:16" ht="12.75" customHeight="1" x14ac:dyDescent="0.25">
      <c r="A94" s="274">
        <f>abitabelid!B177</f>
        <v>83.8</v>
      </c>
      <c r="B94" s="97" t="s">
        <v>212</v>
      </c>
      <c r="C94" s="97" t="s">
        <v>65</v>
      </c>
      <c r="D94" s="97">
        <f>'kütuste tarbimine EE'!C6+'kütuste tarbimine EE'!C7</f>
        <v>29658</v>
      </c>
      <c r="E94" s="97">
        <f>'kütuste tarbimine EE'!D6+'kütuste tarbimine EE'!D7</f>
        <v>30505.144790424099</v>
      </c>
      <c r="F94" s="97">
        <f>'kütuste tarbimine EE'!E6+'kütuste tarbimine EE'!E7</f>
        <v>26790.915284128507</v>
      </c>
      <c r="G94" s="198">
        <f>'kütuste tarbimine EE'!F6+'kütuste tarbimine EE'!F7</f>
        <v>22257.868043989209</v>
      </c>
      <c r="H94" s="731">
        <f>'kütuste tarbimine EE'!G6+'kütuste tarbimine EE'!G7</f>
        <v>17724.820803849914</v>
      </c>
      <c r="I94" s="97">
        <f>'kütuste tarbimine EE'!H6+'kütuste tarbimine EE'!H7</f>
        <v>14811.297539860303</v>
      </c>
      <c r="J94" s="97">
        <f>'kütuste tarbimine EE'!I6+'kütuste tarbimine EE'!I7</f>
        <v>11897.774275870692</v>
      </c>
      <c r="K94" s="97">
        <f>'kütuste tarbimine EE'!J6+'kütuste tarbimine EE'!J7</f>
        <v>10441.012643875889</v>
      </c>
      <c r="L94" s="97">
        <f>'kütuste tarbimine EE'!K6+'kütuste tarbimine EE'!K7</f>
        <v>6070.727747891473</v>
      </c>
    </row>
    <row r="95" spans="1:16" ht="12" customHeight="1" x14ac:dyDescent="0.25">
      <c r="A95" s="274" t="s">
        <v>7</v>
      </c>
      <c r="B95" s="97" t="s">
        <v>213</v>
      </c>
      <c r="C95" s="97" t="s">
        <v>214</v>
      </c>
      <c r="D95" s="112">
        <f t="shared" ref="D95:L95" si="72">D94*$A$94</f>
        <v>2485340.4</v>
      </c>
      <c r="E95" s="112">
        <f t="shared" si="72"/>
        <v>2556331.1334375395</v>
      </c>
      <c r="F95" s="112">
        <f t="shared" si="72"/>
        <v>2245078.7008099686</v>
      </c>
      <c r="G95" s="360">
        <f t="shared" si="72"/>
        <v>1865209.3420862956</v>
      </c>
      <c r="H95" s="733">
        <f t="shared" si="72"/>
        <v>1485339.9833626228</v>
      </c>
      <c r="I95" s="112">
        <f t="shared" si="72"/>
        <v>1241186.7338402933</v>
      </c>
      <c r="J95" s="112">
        <f t="shared" si="72"/>
        <v>997033.48431796394</v>
      </c>
      <c r="K95" s="112">
        <f t="shared" si="72"/>
        <v>874956.85955679941</v>
      </c>
      <c r="L95" s="112">
        <f t="shared" si="72"/>
        <v>508726.98527330544</v>
      </c>
      <c r="M95" s="108" t="s">
        <v>613</v>
      </c>
    </row>
    <row r="96" spans="1:16" ht="46.95" customHeight="1" x14ac:dyDescent="0.25">
      <c r="A96" s="281">
        <f>abitabelid!B178</f>
        <v>18</v>
      </c>
      <c r="B96" s="313" t="s">
        <v>215</v>
      </c>
      <c r="C96" s="253" t="s">
        <v>214</v>
      </c>
      <c r="D96" s="254">
        <f>$A$96*D12</f>
        <v>648</v>
      </c>
      <c r="E96" s="254">
        <f t="shared" ref="E96:L96" si="73">$A$96*E12</f>
        <v>19440</v>
      </c>
      <c r="F96" s="254">
        <f t="shared" si="73"/>
        <v>100440</v>
      </c>
      <c r="G96" s="254">
        <f t="shared" si="73"/>
        <v>129600</v>
      </c>
      <c r="H96" s="764">
        <f t="shared" si="73"/>
        <v>170424</v>
      </c>
      <c r="I96" s="254">
        <f t="shared" si="73"/>
        <v>194400</v>
      </c>
      <c r="J96" s="254">
        <f t="shared" si="73"/>
        <v>209952</v>
      </c>
      <c r="K96" s="254">
        <f t="shared" si="73"/>
        <v>226800</v>
      </c>
      <c r="L96" s="254">
        <f t="shared" si="73"/>
        <v>240278.40000000002</v>
      </c>
      <c r="M96" s="142"/>
      <c r="N96" s="97" t="s">
        <v>7</v>
      </c>
      <c r="O96" s="97" t="s">
        <v>7</v>
      </c>
      <c r="P96" s="97" t="s">
        <v>7</v>
      </c>
    </row>
    <row r="97" spans="1:16" ht="13.2" x14ac:dyDescent="0.25">
      <c r="A97" s="281"/>
      <c r="B97" s="313" t="s">
        <v>795</v>
      </c>
      <c r="C97" s="313" t="s">
        <v>102</v>
      </c>
      <c r="D97" s="254">
        <f>abitabelid!D213</f>
        <v>7.2</v>
      </c>
      <c r="E97" s="254">
        <f>abitabelid!B219</f>
        <v>10.125</v>
      </c>
      <c r="F97" s="254">
        <f>abitabelid!B224</f>
        <v>15</v>
      </c>
      <c r="G97" s="375">
        <f>abitabelid!B229</f>
        <v>19.875</v>
      </c>
      <c r="H97" s="764">
        <f>abitabelid!B234</f>
        <v>24.75</v>
      </c>
      <c r="I97" s="254">
        <f>abitabelid!B239</f>
        <v>30</v>
      </c>
      <c r="J97" s="254">
        <f>abitabelid!B244</f>
        <v>35</v>
      </c>
      <c r="K97" s="254">
        <f>abitabelid!B249</f>
        <v>40</v>
      </c>
      <c r="L97" s="254">
        <f>abitabelid!B254</f>
        <v>45</v>
      </c>
      <c r="M97" s="142"/>
    </row>
    <row r="98" spans="1:16" ht="13.2" x14ac:dyDescent="0.25">
      <c r="A98" s="281"/>
      <c r="B98" s="313" t="s">
        <v>796</v>
      </c>
      <c r="C98" s="253"/>
      <c r="D98" s="254">
        <f>D97*D96</f>
        <v>4665.6000000000004</v>
      </c>
      <c r="E98" s="254">
        <f>E97*E96</f>
        <v>196830</v>
      </c>
      <c r="F98" s="254">
        <f t="shared" ref="F98:L98" si="74">F97*F96</f>
        <v>1506600</v>
      </c>
      <c r="G98" s="254">
        <f t="shared" si="74"/>
        <v>2575800</v>
      </c>
      <c r="H98" s="764">
        <f t="shared" si="74"/>
        <v>4217994</v>
      </c>
      <c r="I98" s="254">
        <f t="shared" si="74"/>
        <v>5832000</v>
      </c>
      <c r="J98" s="254">
        <f t="shared" si="74"/>
        <v>7348320</v>
      </c>
      <c r="K98" s="254">
        <f t="shared" si="74"/>
        <v>9072000</v>
      </c>
      <c r="L98" s="254">
        <f t="shared" si="74"/>
        <v>10812528.000000002</v>
      </c>
      <c r="M98" s="142"/>
    </row>
    <row r="99" spans="1:16" ht="12.75" customHeight="1" x14ac:dyDescent="0.25">
      <c r="A99" s="274" t="s">
        <v>7</v>
      </c>
      <c r="D99" s="97" t="s">
        <v>7</v>
      </c>
    </row>
    <row r="100" spans="1:16" ht="24" customHeight="1" x14ac:dyDescent="0.25">
      <c r="B100" s="262" t="s">
        <v>722</v>
      </c>
      <c r="E100" s="396">
        <f>E110+E111+E118</f>
        <v>37.939356146471432</v>
      </c>
      <c r="F100" s="396">
        <f t="shared" ref="F100:L100" si="75">F110+F111+F118</f>
        <v>123.3908089013062</v>
      </c>
      <c r="G100" s="396">
        <f t="shared" si="75"/>
        <v>164.62116802717594</v>
      </c>
      <c r="H100" s="765">
        <f t="shared" si="75"/>
        <v>212.03572039740206</v>
      </c>
      <c r="I100" s="396">
        <f t="shared" si="75"/>
        <v>225.7835827153626</v>
      </c>
      <c r="J100" s="396">
        <f t="shared" si="75"/>
        <v>243.84626933259162</v>
      </c>
      <c r="K100" s="396">
        <f t="shared" si="75"/>
        <v>263.41417983458973</v>
      </c>
      <c r="L100" s="396">
        <f t="shared" si="75"/>
        <v>279.06850823618822</v>
      </c>
      <c r="N100" s="107" t="s">
        <v>7</v>
      </c>
      <c r="O100" s="115" t="s">
        <v>7</v>
      </c>
      <c r="P100" s="107" t="s">
        <v>229</v>
      </c>
    </row>
    <row r="101" spans="1:16" ht="12.75" customHeight="1" x14ac:dyDescent="0.3">
      <c r="A101" s="282"/>
      <c r="B101" s="176"/>
      <c r="C101" s="90" t="s">
        <v>143</v>
      </c>
      <c r="D101" s="90"/>
      <c r="E101" s="90">
        <v>2015</v>
      </c>
      <c r="F101" s="90">
        <v>2020</v>
      </c>
      <c r="G101" s="376">
        <v>2025</v>
      </c>
      <c r="H101" s="766">
        <v>2030</v>
      </c>
      <c r="I101" s="90">
        <v>2035</v>
      </c>
      <c r="J101" s="90">
        <v>2040</v>
      </c>
      <c r="K101" s="90">
        <v>2045</v>
      </c>
      <c r="L101" s="90">
        <v>2050</v>
      </c>
    </row>
    <row r="102" spans="1:16" ht="12.75" customHeight="1" x14ac:dyDescent="0.3">
      <c r="A102" s="282"/>
      <c r="B102" s="91" t="s">
        <v>609</v>
      </c>
      <c r="C102" s="92" t="s">
        <v>65</v>
      </c>
      <c r="D102" s="166"/>
      <c r="E102" s="166">
        <f t="shared" ref="E102:L102" si="76">E59*1000</f>
        <v>381.76069638469636</v>
      </c>
      <c r="F102" s="166">
        <f t="shared" si="76"/>
        <v>1972.4302646542646</v>
      </c>
      <c r="G102" s="377">
        <f t="shared" si="76"/>
        <v>2545.071309231309</v>
      </c>
      <c r="H102" s="767">
        <f t="shared" si="76"/>
        <v>3346.7687716391715</v>
      </c>
      <c r="I102" s="166">
        <f t="shared" si="76"/>
        <v>3817.6069638469639</v>
      </c>
      <c r="J102" s="166">
        <f t="shared" si="76"/>
        <v>4123.0155209547211</v>
      </c>
      <c r="K102" s="166">
        <f t="shared" si="76"/>
        <v>4453.8747911547907</v>
      </c>
      <c r="L102" s="166">
        <f t="shared" si="76"/>
        <v>4718.5622073148479</v>
      </c>
      <c r="N102" s="115" t="s">
        <v>7</v>
      </c>
      <c r="O102" s="97" t="s">
        <v>7</v>
      </c>
    </row>
    <row r="103" spans="1:16" ht="12.75" customHeight="1" x14ac:dyDescent="0.3">
      <c r="A103" s="282"/>
      <c r="B103" s="92" t="s">
        <v>717</v>
      </c>
      <c r="C103" s="92" t="s">
        <v>181</v>
      </c>
      <c r="D103" s="92"/>
      <c r="E103" s="92">
        <f>SUM(E104:E109)</f>
        <v>31.728092290413976</v>
      </c>
      <c r="F103" s="92">
        <f t="shared" ref="F103:L103" si="77">SUM(F104:F109)</f>
        <v>116.65485106960402</v>
      </c>
      <c r="G103" s="239">
        <f t="shared" si="77"/>
        <v>150.52238847690842</v>
      </c>
      <c r="H103" s="768">
        <f t="shared" si="77"/>
        <v>197.93694084713454</v>
      </c>
      <c r="I103" s="92">
        <f t="shared" si="77"/>
        <v>225.7835827153626</v>
      </c>
      <c r="J103" s="92">
        <f t="shared" si="77"/>
        <v>243.84626933259162</v>
      </c>
      <c r="K103" s="92">
        <f t="shared" si="77"/>
        <v>263.41417983458973</v>
      </c>
      <c r="L103" s="92">
        <f t="shared" si="77"/>
        <v>279.06850823618822</v>
      </c>
      <c r="O103" s="97" t="s">
        <v>7</v>
      </c>
    </row>
    <row r="104" spans="1:16" ht="12.75" customHeight="1" x14ac:dyDescent="0.3">
      <c r="A104" s="282"/>
      <c r="B104" s="93" t="s">
        <v>736</v>
      </c>
      <c r="C104" s="92" t="s">
        <v>181</v>
      </c>
      <c r="D104" s="92"/>
      <c r="E104" s="92">
        <f t="shared" ref="E104:L108" si="78">E63</f>
        <v>4.5</v>
      </c>
      <c r="F104" s="92">
        <f t="shared" si="78"/>
        <v>23.25</v>
      </c>
      <c r="G104" s="239">
        <f t="shared" si="78"/>
        <v>30</v>
      </c>
      <c r="H104" s="768">
        <f t="shared" si="78"/>
        <v>39.449999999999996</v>
      </c>
      <c r="I104" s="92">
        <f t="shared" si="78"/>
        <v>45</v>
      </c>
      <c r="J104" s="92">
        <f t="shared" si="78"/>
        <v>48.6</v>
      </c>
      <c r="K104" s="92">
        <f t="shared" si="78"/>
        <v>52.5</v>
      </c>
      <c r="L104" s="92">
        <f t="shared" si="78"/>
        <v>55.62</v>
      </c>
    </row>
    <row r="105" spans="1:16" ht="12.75" customHeight="1" x14ac:dyDescent="0.3">
      <c r="A105" s="282"/>
      <c r="B105" s="93" t="s">
        <v>590</v>
      </c>
      <c r="C105" s="92" t="s">
        <v>181</v>
      </c>
      <c r="D105" s="92"/>
      <c r="E105" s="92">
        <f t="shared" si="78"/>
        <v>4.2</v>
      </c>
      <c r="F105" s="92">
        <f t="shared" si="78"/>
        <v>21.700000000000003</v>
      </c>
      <c r="G105" s="239">
        <f t="shared" si="78"/>
        <v>28.000000000000004</v>
      </c>
      <c r="H105" s="768">
        <f t="shared" si="78"/>
        <v>36.82</v>
      </c>
      <c r="I105" s="92">
        <f t="shared" si="78"/>
        <v>42.000000000000007</v>
      </c>
      <c r="J105" s="92">
        <f t="shared" si="78"/>
        <v>45.360000000000007</v>
      </c>
      <c r="K105" s="92">
        <f t="shared" si="78"/>
        <v>49.000000000000007</v>
      </c>
      <c r="L105" s="92">
        <f t="shared" si="78"/>
        <v>51.912000000000006</v>
      </c>
    </row>
    <row r="106" spans="1:16" ht="12.75" customHeight="1" x14ac:dyDescent="0.3">
      <c r="A106" s="282"/>
      <c r="B106" s="93" t="s">
        <v>737</v>
      </c>
      <c r="C106" s="92" t="s">
        <v>181</v>
      </c>
      <c r="D106" s="92"/>
      <c r="E106" s="92">
        <f t="shared" si="78"/>
        <v>5.3999999999999995</v>
      </c>
      <c r="F106" s="92">
        <f t="shared" si="78"/>
        <v>27.9</v>
      </c>
      <c r="G106" s="239">
        <f t="shared" si="78"/>
        <v>36</v>
      </c>
      <c r="H106" s="768">
        <f t="shared" si="78"/>
        <v>47.339999999999996</v>
      </c>
      <c r="I106" s="92">
        <f t="shared" si="78"/>
        <v>54</v>
      </c>
      <c r="J106" s="92">
        <f t="shared" si="78"/>
        <v>58.32</v>
      </c>
      <c r="K106" s="92">
        <f t="shared" si="78"/>
        <v>63</v>
      </c>
      <c r="L106" s="92">
        <f t="shared" si="78"/>
        <v>66.744</v>
      </c>
    </row>
    <row r="107" spans="1:16" ht="12.75" customHeight="1" x14ac:dyDescent="0.3">
      <c r="A107" s="282"/>
      <c r="B107" s="93" t="s">
        <v>738</v>
      </c>
      <c r="C107" s="92" t="s">
        <v>181</v>
      </c>
      <c r="D107" s="92"/>
      <c r="E107" s="92">
        <f t="shared" si="78"/>
        <v>4.8</v>
      </c>
      <c r="F107" s="92">
        <f t="shared" si="78"/>
        <v>24.8</v>
      </c>
      <c r="G107" s="239">
        <f t="shared" si="78"/>
        <v>32</v>
      </c>
      <c r="H107" s="768">
        <f t="shared" si="78"/>
        <v>42.08</v>
      </c>
      <c r="I107" s="92">
        <f t="shared" si="78"/>
        <v>48</v>
      </c>
      <c r="J107" s="92">
        <f t="shared" si="78"/>
        <v>51.84</v>
      </c>
      <c r="K107" s="92">
        <f t="shared" si="78"/>
        <v>56</v>
      </c>
      <c r="L107" s="92">
        <f t="shared" si="78"/>
        <v>59.328000000000003</v>
      </c>
    </row>
    <row r="108" spans="1:16" ht="12.75" customHeight="1" x14ac:dyDescent="0.3">
      <c r="A108" s="282"/>
      <c r="B108" s="93" t="s">
        <v>628</v>
      </c>
      <c r="C108" s="92" t="s">
        <v>181</v>
      </c>
      <c r="D108" s="92"/>
      <c r="E108" s="92">
        <f t="shared" si="78"/>
        <v>2.1</v>
      </c>
      <c r="F108" s="92">
        <f t="shared" si="78"/>
        <v>10.850000000000001</v>
      </c>
      <c r="G108" s="239">
        <f t="shared" si="78"/>
        <v>14.000000000000002</v>
      </c>
      <c r="H108" s="768">
        <f t="shared" si="78"/>
        <v>18.41</v>
      </c>
      <c r="I108" s="92">
        <f t="shared" si="78"/>
        <v>21.000000000000004</v>
      </c>
      <c r="J108" s="92">
        <f t="shared" si="78"/>
        <v>22.680000000000003</v>
      </c>
      <c r="K108" s="92">
        <f t="shared" si="78"/>
        <v>24.500000000000004</v>
      </c>
      <c r="L108" s="92">
        <f t="shared" si="78"/>
        <v>25.956000000000003</v>
      </c>
      <c r="M108" s="268" t="s">
        <v>629</v>
      </c>
    </row>
    <row r="109" spans="1:16" ht="12.75" customHeight="1" x14ac:dyDescent="0.3">
      <c r="A109" s="282"/>
      <c r="B109" s="257" t="s">
        <v>631</v>
      </c>
      <c r="C109" s="92" t="s">
        <v>181</v>
      </c>
      <c r="D109" s="92"/>
      <c r="E109" s="245">
        <f>(E110+E111+E37)-SUM(E104:E108)</f>
        <v>10.728092290413976</v>
      </c>
      <c r="F109" s="245">
        <f t="shared" ref="F109:L109" si="79">(F110+F111+F37)-SUM(F104:F108)</f>
        <v>8.1548510696040211</v>
      </c>
      <c r="G109" s="245">
        <f t="shared" si="79"/>
        <v>10.522388476908418</v>
      </c>
      <c r="H109" s="245">
        <f t="shared" si="79"/>
        <v>13.836940847134542</v>
      </c>
      <c r="I109" s="245">
        <f t="shared" si="79"/>
        <v>15.783582715362598</v>
      </c>
      <c r="J109" s="245">
        <f t="shared" si="79"/>
        <v>17.046269332591606</v>
      </c>
      <c r="K109" s="245">
        <f t="shared" si="79"/>
        <v>18.414179834589731</v>
      </c>
      <c r="L109" s="245">
        <f t="shared" si="79"/>
        <v>19.50850823618822</v>
      </c>
      <c r="M109" s="252" t="s">
        <v>724</v>
      </c>
    </row>
    <row r="110" spans="1:16" ht="12.75" customHeight="1" x14ac:dyDescent="0.3">
      <c r="A110" s="282"/>
      <c r="B110" s="91" t="s">
        <v>597</v>
      </c>
      <c r="C110" s="92" t="s">
        <v>181</v>
      </c>
      <c r="D110" s="92"/>
      <c r="E110" s="92">
        <f t="shared" ref="E110:L110" si="80">E89</f>
        <v>1.5783582715362625</v>
      </c>
      <c r="F110" s="92">
        <f t="shared" si="80"/>
        <v>8.1548510696040246</v>
      </c>
      <c r="G110" s="239">
        <f t="shared" si="80"/>
        <v>10.522388476908418</v>
      </c>
      <c r="H110" s="768">
        <f t="shared" si="80"/>
        <v>13.836940847134571</v>
      </c>
      <c r="I110" s="92">
        <f t="shared" si="80"/>
        <v>15.783582715362627</v>
      </c>
      <c r="J110" s="92">
        <f t="shared" si="80"/>
        <v>17.046269332591638</v>
      </c>
      <c r="K110" s="92">
        <f t="shared" si="80"/>
        <v>18.414179834589731</v>
      </c>
      <c r="L110" s="92">
        <f t="shared" si="80"/>
        <v>19.508508236188209</v>
      </c>
      <c r="M110" s="507" t="s">
        <v>986</v>
      </c>
    </row>
    <row r="111" spans="1:16" ht="12.75" customHeight="1" x14ac:dyDescent="0.3">
      <c r="A111" s="282"/>
      <c r="B111" s="92" t="s">
        <v>592</v>
      </c>
      <c r="C111" s="92" t="s">
        <v>181</v>
      </c>
      <c r="D111" s="92"/>
      <c r="E111" s="92">
        <f>E49</f>
        <v>21</v>
      </c>
      <c r="F111" s="92">
        <f t="shared" ref="F111:L111" si="81">F49</f>
        <v>108.5</v>
      </c>
      <c r="G111" s="92">
        <f t="shared" si="81"/>
        <v>140</v>
      </c>
      <c r="H111" s="768">
        <f t="shared" si="81"/>
        <v>184.09999999999997</v>
      </c>
      <c r="I111" s="92">
        <f t="shared" si="81"/>
        <v>209.99999999999997</v>
      </c>
      <c r="J111" s="92">
        <f t="shared" si="81"/>
        <v>226.79999999999998</v>
      </c>
      <c r="K111" s="92">
        <f t="shared" si="81"/>
        <v>245</v>
      </c>
      <c r="L111" s="92">
        <f t="shared" si="81"/>
        <v>259.56</v>
      </c>
    </row>
    <row r="112" spans="1:16" ht="12.75" customHeight="1" x14ac:dyDescent="0.3">
      <c r="A112" s="282"/>
      <c r="B112" s="92" t="s">
        <v>189</v>
      </c>
      <c r="C112" s="92" t="s">
        <v>181</v>
      </c>
      <c r="D112" s="92"/>
      <c r="E112" s="92">
        <f>SUM(E113:E116)</f>
        <v>129.16870905928698</v>
      </c>
      <c r="F112" s="92">
        <f t="shared" ref="F112:L112" si="82">SUM(F113:F116)</f>
        <v>115.33532123022714</v>
      </c>
      <c r="G112" s="239">
        <f t="shared" si="82"/>
        <v>82.142866768030075</v>
      </c>
      <c r="H112" s="768">
        <f t="shared" si="82"/>
        <v>95.375861968030065</v>
      </c>
      <c r="I112" s="92">
        <f t="shared" si="82"/>
        <v>27.2011568</v>
      </c>
      <c r="J112" s="92">
        <f t="shared" si="82"/>
        <v>17.643993599999998</v>
      </c>
      <c r="K112" s="92">
        <f t="shared" si="82"/>
        <v>19.114326399999999</v>
      </c>
      <c r="L112" s="92">
        <f t="shared" si="82"/>
        <v>15.291461120000008</v>
      </c>
      <c r="M112" s="395">
        <f>SUM(E112:L112)</f>
        <v>501.27369694557416</v>
      </c>
    </row>
    <row r="113" spans="1:14" ht="12.75" customHeight="1" x14ac:dyDescent="0.3">
      <c r="A113" s="282"/>
      <c r="B113" s="93" t="s">
        <v>190</v>
      </c>
      <c r="C113" s="92" t="s">
        <v>181</v>
      </c>
      <c r="D113" s="92"/>
      <c r="E113" s="92">
        <f t="shared" ref="E113:L115" si="83">E71</f>
        <v>24.603368</v>
      </c>
      <c r="F113" s="92">
        <f t="shared" si="83"/>
        <v>21.209800000000001</v>
      </c>
      <c r="G113" s="239">
        <f t="shared" si="83"/>
        <v>7.6355279999999999</v>
      </c>
      <c r="H113" s="768">
        <f t="shared" si="83"/>
        <v>10.6897392</v>
      </c>
      <c r="I113" s="92">
        <f t="shared" si="83"/>
        <v>6.2781008000000007</v>
      </c>
      <c r="J113" s="92">
        <f t="shared" si="83"/>
        <v>4.0722815999999993</v>
      </c>
      <c r="K113" s="92">
        <f t="shared" si="83"/>
        <v>4.4116384000000002</v>
      </c>
      <c r="L113" s="92">
        <f t="shared" si="83"/>
        <v>3.5293107200000016</v>
      </c>
    </row>
    <row r="114" spans="1:14" ht="12.75" customHeight="1" x14ac:dyDescent="0.3">
      <c r="A114" s="282"/>
      <c r="B114" s="93" t="s">
        <v>192</v>
      </c>
      <c r="C114" s="92" t="s">
        <v>181</v>
      </c>
      <c r="D114" s="92"/>
      <c r="E114" s="92">
        <f t="shared" si="83"/>
        <v>81.995760000000004</v>
      </c>
      <c r="F114" s="92">
        <f t="shared" si="83"/>
        <v>70.686000000000007</v>
      </c>
      <c r="G114" s="239">
        <f t="shared" si="83"/>
        <v>25.446960000000001</v>
      </c>
      <c r="H114" s="768">
        <f t="shared" si="83"/>
        <v>35.625743999999997</v>
      </c>
      <c r="I114" s="92">
        <f t="shared" si="83"/>
        <v>20.923055999999999</v>
      </c>
      <c r="J114" s="92">
        <f t="shared" si="83"/>
        <v>13.571712</v>
      </c>
      <c r="K114" s="92">
        <f t="shared" si="83"/>
        <v>14.702688</v>
      </c>
      <c r="L114" s="92">
        <f t="shared" si="83"/>
        <v>11.762150400000007</v>
      </c>
    </row>
    <row r="115" spans="1:14" ht="12.75" customHeight="1" x14ac:dyDescent="0.3">
      <c r="A115" s="282"/>
      <c r="B115" s="93" t="s">
        <v>193</v>
      </c>
      <c r="C115" s="92" t="s">
        <v>181</v>
      </c>
      <c r="D115" s="92"/>
      <c r="E115" s="92">
        <f>E74</f>
        <v>12.971915663404372</v>
      </c>
      <c r="F115" s="92">
        <f t="shared" ref="F115:H115" si="84">F74</f>
        <v>13.471915663404372</v>
      </c>
      <c r="G115" s="239">
        <f t="shared" si="84"/>
        <v>28.197559100535056</v>
      </c>
      <c r="H115" s="768">
        <f t="shared" si="84"/>
        <v>28.197559100535052</v>
      </c>
      <c r="I115" s="92">
        <f t="shared" si="83"/>
        <v>0</v>
      </c>
      <c r="J115" s="92">
        <f t="shared" si="83"/>
        <v>0</v>
      </c>
      <c r="K115" s="92">
        <f t="shared" si="83"/>
        <v>0</v>
      </c>
      <c r="L115" s="92">
        <f t="shared" si="83"/>
        <v>0</v>
      </c>
      <c r="M115" s="256" t="s">
        <v>719</v>
      </c>
    </row>
    <row r="116" spans="1:14" ht="12.75" customHeight="1" x14ac:dyDescent="0.3">
      <c r="A116" s="282"/>
      <c r="B116" s="93" t="s">
        <v>194</v>
      </c>
      <c r="C116" s="92" t="s">
        <v>181</v>
      </c>
      <c r="D116" s="92"/>
      <c r="E116" s="92">
        <f>E76</f>
        <v>9.5976653958825899</v>
      </c>
      <c r="F116" s="92">
        <f t="shared" ref="F116:L116" si="85">F76</f>
        <v>9.9676055668227601</v>
      </c>
      <c r="G116" s="239">
        <f t="shared" si="85"/>
        <v>20.862819667495021</v>
      </c>
      <c r="H116" s="768">
        <f t="shared" si="85"/>
        <v>20.862819667495017</v>
      </c>
      <c r="I116" s="92">
        <f t="shared" si="85"/>
        <v>0</v>
      </c>
      <c r="J116" s="92">
        <f t="shared" si="85"/>
        <v>0</v>
      </c>
      <c r="K116" s="92">
        <f t="shared" si="85"/>
        <v>0</v>
      </c>
      <c r="L116" s="92">
        <f t="shared" si="85"/>
        <v>0</v>
      </c>
    </row>
    <row r="117" spans="1:14" ht="30" customHeight="1" x14ac:dyDescent="0.3">
      <c r="A117" s="282"/>
      <c r="B117" s="245" t="s">
        <v>730</v>
      </c>
      <c r="C117" s="245" t="s">
        <v>181</v>
      </c>
      <c r="D117" s="245"/>
      <c r="E117" s="245">
        <f t="shared" ref="E117:L117" si="86">E43+E110</f>
        <v>4.054633065244289</v>
      </c>
      <c r="F117" s="245">
        <f t="shared" si="86"/>
        <v>90.775884162754707</v>
      </c>
      <c r="G117" s="245">
        <f t="shared" si="86"/>
        <v>84.448278142357537</v>
      </c>
      <c r="H117" s="768">
        <f t="shared" si="86"/>
        <v>95.189377998530219</v>
      </c>
      <c r="I117" s="245">
        <f t="shared" si="86"/>
        <v>138.38040871079519</v>
      </c>
      <c r="J117" s="245">
        <f t="shared" si="86"/>
        <v>171.70066340085725</v>
      </c>
      <c r="K117" s="245">
        <f t="shared" si="86"/>
        <v>205.53751457799112</v>
      </c>
      <c r="L117" s="245">
        <f t="shared" si="86"/>
        <v>242.99674635392824</v>
      </c>
      <c r="M117" s="252" t="s">
        <v>899</v>
      </c>
    </row>
    <row r="118" spans="1:14" ht="12.75" customHeight="1" x14ac:dyDescent="0.3">
      <c r="A118" s="282"/>
      <c r="B118" s="92" t="s">
        <v>594</v>
      </c>
      <c r="C118" s="92" t="s">
        <v>181</v>
      </c>
      <c r="D118" s="92"/>
      <c r="E118" s="92">
        <f>E39+E80</f>
        <v>15.360997874935169</v>
      </c>
      <c r="F118" s="92">
        <f t="shared" ref="F118:L118" si="87">F39+F80</f>
        <v>6.7359578317021862</v>
      </c>
      <c r="G118" s="92">
        <f t="shared" si="87"/>
        <v>14.098779550267528</v>
      </c>
      <c r="H118" s="768">
        <f t="shared" si="87"/>
        <v>14.098779550267526</v>
      </c>
      <c r="I118" s="92">
        <f t="shared" si="87"/>
        <v>0</v>
      </c>
      <c r="J118" s="92">
        <f t="shared" si="87"/>
        <v>0</v>
      </c>
      <c r="K118" s="92">
        <f t="shared" si="87"/>
        <v>0</v>
      </c>
      <c r="L118" s="92">
        <f t="shared" si="87"/>
        <v>0</v>
      </c>
      <c r="M118" s="395">
        <f>SUM(E118:L118)</f>
        <v>50.294514807172405</v>
      </c>
      <c r="N118" s="97" t="s">
        <v>987</v>
      </c>
    </row>
    <row r="119" spans="1:14" ht="12.75" customHeight="1" x14ac:dyDescent="0.3">
      <c r="A119" s="282"/>
      <c r="B119" s="92" t="s">
        <v>195</v>
      </c>
      <c r="C119" s="92"/>
      <c r="D119" s="92"/>
      <c r="E119" s="92"/>
      <c r="F119" s="92"/>
      <c r="G119" s="239"/>
      <c r="H119" s="768"/>
      <c r="I119" s="92"/>
      <c r="J119" s="92"/>
      <c r="K119" s="92"/>
      <c r="L119" s="92"/>
    </row>
    <row r="120" spans="1:14" ht="12.75" customHeight="1" x14ac:dyDescent="0.3">
      <c r="A120" s="282"/>
      <c r="B120" s="93" t="s">
        <v>595</v>
      </c>
      <c r="C120" s="92" t="s">
        <v>196</v>
      </c>
      <c r="D120" s="92"/>
      <c r="E120" s="207">
        <f t="shared" ref="E120:L120" si="88">E84+E86</f>
        <v>8604.9303835331102</v>
      </c>
      <c r="F120" s="207">
        <f t="shared" si="88"/>
        <v>44458.806981587739</v>
      </c>
      <c r="G120" s="378">
        <f t="shared" si="88"/>
        <v>57366.202556887394</v>
      </c>
      <c r="H120" s="769">
        <f t="shared" si="88"/>
        <v>75436.556362306932</v>
      </c>
      <c r="I120" s="207">
        <f t="shared" si="88"/>
        <v>86049.303835331099</v>
      </c>
      <c r="J120" s="207">
        <f t="shared" si="88"/>
        <v>92933.248142157594</v>
      </c>
      <c r="K120" s="207">
        <f t="shared" si="88"/>
        <v>100390.85447455297</v>
      </c>
      <c r="L120" s="207">
        <f t="shared" si="88"/>
        <v>106356.93954046923</v>
      </c>
    </row>
    <row r="121" spans="1:14" ht="12.75" customHeight="1" x14ac:dyDescent="0.3">
      <c r="A121" s="282"/>
      <c r="B121" s="93" t="s">
        <v>596</v>
      </c>
      <c r="C121" s="92" t="s">
        <v>65</v>
      </c>
      <c r="D121" s="92">
        <f>D12</f>
        <v>36</v>
      </c>
      <c r="E121" s="92">
        <f t="shared" ref="E121:L121" si="89">E12</f>
        <v>1080</v>
      </c>
      <c r="F121" s="92">
        <f t="shared" si="89"/>
        <v>5580</v>
      </c>
      <c r="G121" s="92">
        <f t="shared" si="89"/>
        <v>7200</v>
      </c>
      <c r="H121" s="768">
        <f t="shared" si="89"/>
        <v>9468</v>
      </c>
      <c r="I121" s="92">
        <f t="shared" si="89"/>
        <v>10800</v>
      </c>
      <c r="J121" s="92">
        <f t="shared" si="89"/>
        <v>11664</v>
      </c>
      <c r="K121" s="92">
        <f t="shared" si="89"/>
        <v>12600</v>
      </c>
      <c r="L121" s="92">
        <f t="shared" si="89"/>
        <v>13348.800000000001</v>
      </c>
    </row>
    <row r="122" spans="1:14" ht="12.75" customHeight="1" x14ac:dyDescent="0.3">
      <c r="A122" s="282"/>
      <c r="B122" s="245" t="s">
        <v>598</v>
      </c>
      <c r="C122" s="245" t="s">
        <v>718</v>
      </c>
      <c r="D122" s="92"/>
      <c r="E122" s="255">
        <f>E96/1000</f>
        <v>19.440000000000001</v>
      </c>
      <c r="F122" s="255">
        <f t="shared" ref="F122:L122" si="90">F96/1000</f>
        <v>100.44</v>
      </c>
      <c r="G122" s="378">
        <f t="shared" si="90"/>
        <v>129.6</v>
      </c>
      <c r="H122" s="769">
        <f t="shared" si="90"/>
        <v>170.42400000000001</v>
      </c>
      <c r="I122" s="255">
        <f t="shared" si="90"/>
        <v>194.4</v>
      </c>
      <c r="J122" s="255">
        <f t="shared" si="90"/>
        <v>209.952</v>
      </c>
      <c r="K122" s="255">
        <f t="shared" si="90"/>
        <v>226.8</v>
      </c>
      <c r="L122" s="255">
        <f t="shared" si="90"/>
        <v>240.27840000000003</v>
      </c>
      <c r="M122" s="252" t="s">
        <v>720</v>
      </c>
    </row>
    <row r="123" spans="1:14" ht="12.75" customHeight="1" x14ac:dyDescent="0.25">
      <c r="E123" s="97">
        <f>E109/E3</f>
        <v>0.35760307634713251</v>
      </c>
    </row>
    <row r="125" spans="1:14" ht="12.75" customHeight="1" x14ac:dyDescent="0.25">
      <c r="B125" s="396"/>
      <c r="C125" s="396" t="s">
        <v>143</v>
      </c>
      <c r="D125" s="396"/>
      <c r="E125" s="399">
        <v>2015</v>
      </c>
      <c r="F125" s="399">
        <v>2020</v>
      </c>
      <c r="G125" s="400">
        <v>2025</v>
      </c>
      <c r="H125" s="770">
        <v>2030</v>
      </c>
      <c r="I125" s="399">
        <v>2035</v>
      </c>
      <c r="J125" s="399">
        <v>2040</v>
      </c>
      <c r="K125" s="399">
        <v>2045</v>
      </c>
      <c r="L125" s="399">
        <v>2050</v>
      </c>
    </row>
    <row r="126" spans="1:14" ht="15.75" customHeight="1" x14ac:dyDescent="0.25">
      <c r="B126" s="396" t="s">
        <v>609</v>
      </c>
      <c r="C126" s="396" t="s">
        <v>65</v>
      </c>
      <c r="D126" s="396"/>
      <c r="E126" s="396">
        <v>342.87766249366251</v>
      </c>
      <c r="F126" s="396">
        <v>685.75532498732503</v>
      </c>
      <c r="G126" s="397">
        <v>1376.4593997425998</v>
      </c>
      <c r="H126" s="765">
        <v>2067.1634744978746</v>
      </c>
      <c r="I126" s="396">
        <v>1997.1740134940135</v>
      </c>
      <c r="J126" s="396">
        <v>1926.8310703638704</v>
      </c>
      <c r="K126" s="396">
        <v>1891.8363398619399</v>
      </c>
      <c r="L126" s="396">
        <v>1786.8521483561483</v>
      </c>
    </row>
    <row r="127" spans="1:14" ht="12.75" customHeight="1" x14ac:dyDescent="0.25">
      <c r="B127" s="396" t="s">
        <v>610</v>
      </c>
      <c r="C127" s="396" t="s">
        <v>181</v>
      </c>
      <c r="D127" s="396"/>
      <c r="E127" s="396">
        <v>26.114732193672609</v>
      </c>
      <c r="F127" s="396">
        <v>64.671020617776989</v>
      </c>
      <c r="G127" s="397">
        <v>120.08234486012192</v>
      </c>
      <c r="H127" s="765">
        <v>167.57853990411039</v>
      </c>
      <c r="I127" s="396">
        <v>159.13334603311159</v>
      </c>
      <c r="J127" s="396">
        <v>155.8680635149573</v>
      </c>
      <c r="K127" s="396">
        <v>155.19528424969667</v>
      </c>
      <c r="L127" s="396">
        <v>149.30542035556047</v>
      </c>
    </row>
    <row r="128" spans="1:14" ht="12.75" customHeight="1" x14ac:dyDescent="0.25">
      <c r="B128" s="396" t="s">
        <v>736</v>
      </c>
      <c r="C128" s="396" t="s">
        <v>181</v>
      </c>
      <c r="D128" s="396"/>
      <c r="E128" s="396">
        <v>3.7722222222222221</v>
      </c>
      <c r="F128" s="396">
        <v>7.5444444444444452</v>
      </c>
      <c r="G128" s="397">
        <v>15.143333333333334</v>
      </c>
      <c r="H128" s="765">
        <v>22.742222222222221</v>
      </c>
      <c r="I128" s="396">
        <v>21.972222222222225</v>
      </c>
      <c r="J128" s="396">
        <v>21.198333333333334</v>
      </c>
      <c r="K128" s="396">
        <v>20.81333333333334</v>
      </c>
      <c r="L128" s="396">
        <v>19.658333333333335</v>
      </c>
    </row>
    <row r="129" spans="2:12" ht="12.75" customHeight="1" x14ac:dyDescent="0.25">
      <c r="B129" s="396" t="s">
        <v>590</v>
      </c>
      <c r="C129" s="396" t="s">
        <v>181</v>
      </c>
      <c r="D129" s="396"/>
      <c r="E129" s="396">
        <v>4.5805555555555557</v>
      </c>
      <c r="F129" s="396">
        <v>9.1611111111111114</v>
      </c>
      <c r="G129" s="397">
        <v>18.388333333333332</v>
      </c>
      <c r="H129" s="765">
        <v>27.615555555555552</v>
      </c>
      <c r="I129" s="396">
        <v>26.680555555555557</v>
      </c>
      <c r="J129" s="396">
        <v>25.740833333333335</v>
      </c>
      <c r="K129" s="396">
        <v>25.273333333333341</v>
      </c>
      <c r="L129" s="396">
        <v>23.870833333333334</v>
      </c>
    </row>
    <row r="130" spans="2:12" ht="12.75" customHeight="1" x14ac:dyDescent="0.25">
      <c r="B130" s="396" t="s">
        <v>737</v>
      </c>
      <c r="C130" s="396" t="s">
        <v>181</v>
      </c>
      <c r="D130" s="396"/>
      <c r="E130" s="396">
        <v>5.6583333333333332</v>
      </c>
      <c r="F130" s="396">
        <v>11.316666666666666</v>
      </c>
      <c r="G130" s="397">
        <v>22.714999999999996</v>
      </c>
      <c r="H130" s="765">
        <v>34.11333333333333</v>
      </c>
      <c r="I130" s="396">
        <v>32.958333333333336</v>
      </c>
      <c r="J130" s="396">
        <v>31.797499999999992</v>
      </c>
      <c r="K130" s="396">
        <v>31.220000000000006</v>
      </c>
      <c r="L130" s="396">
        <v>29.487499999999997</v>
      </c>
    </row>
    <row r="131" spans="2:12" ht="12.75" customHeight="1" x14ac:dyDescent="0.25">
      <c r="B131" s="396" t="s">
        <v>738</v>
      </c>
      <c r="C131" s="396" t="s">
        <v>181</v>
      </c>
      <c r="D131" s="396"/>
      <c r="E131" s="396">
        <v>3.7722222222222221</v>
      </c>
      <c r="F131" s="396">
        <v>7.5444444444444452</v>
      </c>
      <c r="G131" s="397">
        <v>15.143333333333334</v>
      </c>
      <c r="H131" s="765">
        <v>22.742222222222221</v>
      </c>
      <c r="I131" s="396">
        <v>21.972222222222225</v>
      </c>
      <c r="J131" s="396">
        <v>21.198333333333334</v>
      </c>
      <c r="K131" s="396">
        <v>20.81333333333334</v>
      </c>
      <c r="L131" s="396">
        <v>19.658333333333335</v>
      </c>
    </row>
    <row r="132" spans="2:12" ht="12.75" customHeight="1" x14ac:dyDescent="0.25">
      <c r="B132" s="396" t="s">
        <v>628</v>
      </c>
      <c r="C132" s="396" t="s">
        <v>181</v>
      </c>
      <c r="D132" s="396"/>
      <c r="E132" s="396">
        <v>3.5027777777777782</v>
      </c>
      <c r="F132" s="396">
        <v>7.0055555555555564</v>
      </c>
      <c r="G132" s="397">
        <v>14.061666666666666</v>
      </c>
      <c r="H132" s="765">
        <v>21.117777777777775</v>
      </c>
      <c r="I132" s="396">
        <v>20.402777777777779</v>
      </c>
      <c r="J132" s="396">
        <v>19.684166666666666</v>
      </c>
      <c r="K132" s="396">
        <v>19.326666666666672</v>
      </c>
      <c r="L132" s="396">
        <v>18.254166666666666</v>
      </c>
    </row>
    <row r="133" spans="2:12" ht="12.75" customHeight="1" x14ac:dyDescent="0.25">
      <c r="B133" s="398" t="s">
        <v>631</v>
      </c>
      <c r="C133" s="398" t="s">
        <v>181</v>
      </c>
      <c r="D133" s="398"/>
      <c r="E133" s="398">
        <v>4.8286210825614972</v>
      </c>
      <c r="F133" s="398">
        <v>22.098798395554766</v>
      </c>
      <c r="G133" s="398">
        <v>34.630678193455253</v>
      </c>
      <c r="H133" s="765">
        <v>39.247428792999273</v>
      </c>
      <c r="I133" s="398">
        <v>35.147234922000479</v>
      </c>
      <c r="J133" s="398">
        <v>36.248896848290642</v>
      </c>
      <c r="K133" s="398">
        <v>37.748617583029969</v>
      </c>
      <c r="L133" s="398">
        <v>38.376253688893811</v>
      </c>
    </row>
    <row r="134" spans="2:12" ht="12.75" customHeight="1" x14ac:dyDescent="0.25">
      <c r="B134" s="396" t="s">
        <v>597</v>
      </c>
      <c r="C134" s="396" t="s">
        <v>181</v>
      </c>
      <c r="D134" s="396"/>
      <c r="E134" s="396">
        <v>3.1667321936726038</v>
      </c>
      <c r="F134" s="396">
        <v>12.763446543702919</v>
      </c>
      <c r="G134" s="397">
        <v>18.098049519620123</v>
      </c>
      <c r="H134" s="765">
        <v>24.650964904110367</v>
      </c>
      <c r="I134" s="396">
        <v>26.923346033111578</v>
      </c>
      <c r="J134" s="396">
        <v>28.314663514957292</v>
      </c>
      <c r="K134" s="396">
        <v>29.958484249696664</v>
      </c>
      <c r="L134" s="396">
        <v>31.018420355560448</v>
      </c>
    </row>
    <row r="135" spans="2:12" ht="12.75" customHeight="1" x14ac:dyDescent="0.25">
      <c r="B135" s="396" t="s">
        <v>592</v>
      </c>
      <c r="C135" s="396" t="s">
        <v>181</v>
      </c>
      <c r="D135" s="396"/>
      <c r="E135" s="396">
        <v>20.150133333333333</v>
      </c>
      <c r="F135" s="396">
        <v>47.016977777777768</v>
      </c>
      <c r="G135" s="397">
        <v>101.1142</v>
      </c>
      <c r="H135" s="765">
        <v>136.84320000000002</v>
      </c>
      <c r="I135" s="396">
        <v>132.21</v>
      </c>
      <c r="J135" s="396">
        <v>127.55340000000001</v>
      </c>
      <c r="K135" s="396">
        <v>125.23680000000002</v>
      </c>
      <c r="L135" s="396">
        <v>118.28700000000002</v>
      </c>
    </row>
    <row r="136" spans="2:12" ht="12.75" customHeight="1" x14ac:dyDescent="0.25">
      <c r="B136" s="396" t="s">
        <v>189</v>
      </c>
      <c r="C136" s="396" t="s">
        <v>181</v>
      </c>
      <c r="D136" s="396"/>
      <c r="E136" s="396">
        <v>118.40052885976574</v>
      </c>
      <c r="F136" s="396">
        <v>197.55371889838557</v>
      </c>
      <c r="G136" s="397">
        <v>110.63273021025641</v>
      </c>
      <c r="H136" s="765">
        <v>176.88757565551978</v>
      </c>
      <c r="I136" s="396">
        <v>87.990154845837282</v>
      </c>
      <c r="J136" s="396">
        <v>50.985605151841291</v>
      </c>
      <c r="K136" s="396">
        <v>50.202641994497363</v>
      </c>
      <c r="L136" s="396">
        <v>35.805515787286758</v>
      </c>
    </row>
    <row r="137" spans="2:12" ht="12.75" customHeight="1" x14ac:dyDescent="0.25">
      <c r="B137" s="396" t="s">
        <v>190</v>
      </c>
      <c r="C137" s="396" t="s">
        <v>181</v>
      </c>
      <c r="D137" s="396"/>
      <c r="E137" s="396">
        <v>22.097469407407406</v>
      </c>
      <c r="F137" s="396">
        <v>36.87008243727599</v>
      </c>
      <c r="G137" s="397">
        <v>20.647740299999995</v>
      </c>
      <c r="H137" s="765">
        <v>33.013094022813682</v>
      </c>
      <c r="I137" s="396">
        <v>16.421884037037035</v>
      </c>
      <c r="J137" s="396">
        <v>9.5156065679012336</v>
      </c>
      <c r="K137" s="396">
        <v>9.3694796495238108</v>
      </c>
      <c r="L137" s="396">
        <v>6.6824979359942489</v>
      </c>
    </row>
    <row r="138" spans="2:12" ht="12.75" customHeight="1" x14ac:dyDescent="0.25">
      <c r="B138" s="396" t="s">
        <v>192</v>
      </c>
      <c r="C138" s="396" t="s">
        <v>181</v>
      </c>
      <c r="D138" s="396"/>
      <c r="E138" s="396">
        <v>73.64434</v>
      </c>
      <c r="F138" s="396">
        <v>122.87709677419355</v>
      </c>
      <c r="G138" s="397">
        <v>68.812821</v>
      </c>
      <c r="H138" s="765">
        <v>110.0228933840304</v>
      </c>
      <c r="I138" s="396">
        <v>54.729289999999999</v>
      </c>
      <c r="J138" s="396">
        <v>31.712706666666662</v>
      </c>
      <c r="K138" s="396">
        <v>31.225708800000007</v>
      </c>
      <c r="L138" s="396">
        <v>22.270792233009718</v>
      </c>
    </row>
    <row r="139" spans="2:12" ht="12.75" customHeight="1" x14ac:dyDescent="0.25">
      <c r="B139" s="396" t="s">
        <v>193</v>
      </c>
      <c r="C139" s="396" t="s">
        <v>181</v>
      </c>
      <c r="D139" s="396"/>
      <c r="E139" s="396">
        <v>13.023148148148149</v>
      </c>
      <c r="F139" s="396">
        <v>21.729390681003583</v>
      </c>
      <c r="G139" s="397">
        <v>12.168749999999999</v>
      </c>
      <c r="H139" s="765">
        <v>19.456273764258555</v>
      </c>
      <c r="I139" s="396">
        <v>9.6782407407407405</v>
      </c>
      <c r="J139" s="396">
        <v>5.6080246913580236</v>
      </c>
      <c r="K139" s="396">
        <v>5.5219047619047625</v>
      </c>
      <c r="L139" s="396">
        <v>3.9383315354189161</v>
      </c>
    </row>
    <row r="140" spans="2:12" ht="12.75" customHeight="1" x14ac:dyDescent="0.25">
      <c r="B140" s="396" t="s">
        <v>194</v>
      </c>
      <c r="C140" s="396" t="s">
        <v>181</v>
      </c>
      <c r="D140" s="396"/>
      <c r="E140" s="396">
        <v>9.6355713042101936</v>
      </c>
      <c r="F140" s="396">
        <v>16.07714900591245</v>
      </c>
      <c r="G140" s="397">
        <v>9.0034189102564088</v>
      </c>
      <c r="H140" s="765">
        <v>14.395314484417144</v>
      </c>
      <c r="I140" s="396">
        <v>7.1607400680595115</v>
      </c>
      <c r="J140" s="396">
        <v>4.1492672259153736</v>
      </c>
      <c r="K140" s="396">
        <v>4.0855487830687833</v>
      </c>
      <c r="L140" s="396">
        <v>2.9138940828638793</v>
      </c>
    </row>
    <row r="141" spans="2:12" ht="12.75" customHeight="1" x14ac:dyDescent="0.25">
      <c r="B141" s="401" t="s">
        <v>730</v>
      </c>
      <c r="C141" s="401" t="s">
        <v>181</v>
      </c>
      <c r="D141" s="401"/>
      <c r="E141" s="401">
        <v>3.1667321936726038</v>
      </c>
      <c r="F141" s="401">
        <v>12.763446543702919</v>
      </c>
      <c r="G141" s="401">
        <v>18.098049519620123</v>
      </c>
      <c r="H141" s="765">
        <v>24.650964904110367</v>
      </c>
      <c r="I141" s="401">
        <v>26.923346033111578</v>
      </c>
      <c r="J141" s="401">
        <v>28.314663514957292</v>
      </c>
      <c r="K141" s="401">
        <v>29.958484249696664</v>
      </c>
      <c r="L141" s="401">
        <v>31.018420355560448</v>
      </c>
    </row>
    <row r="142" spans="2:12" ht="12.75" customHeight="1" x14ac:dyDescent="0.25">
      <c r="B142" s="402" t="s">
        <v>594</v>
      </c>
      <c r="C142" s="402" t="s">
        <v>181</v>
      </c>
      <c r="D142" s="402"/>
      <c r="E142" s="402">
        <v>2.7978666666666721</v>
      </c>
      <c r="F142" s="402">
        <v>4.8905962962963052</v>
      </c>
      <c r="G142" s="402">
        <v>0.87009534050180548</v>
      </c>
      <c r="H142" s="765">
        <v>6.0843749999999996</v>
      </c>
      <c r="I142" s="402">
        <v>0</v>
      </c>
      <c r="J142" s="402">
        <v>0</v>
      </c>
      <c r="K142" s="402">
        <v>0</v>
      </c>
      <c r="L142" s="402">
        <v>0</v>
      </c>
    </row>
    <row r="143" spans="2:12" ht="12.75" customHeight="1" x14ac:dyDescent="0.25">
      <c r="B143" s="396" t="s">
        <v>195</v>
      </c>
      <c r="C143" s="396"/>
      <c r="D143" s="396"/>
      <c r="E143" s="396"/>
      <c r="F143" s="396"/>
      <c r="G143" s="397"/>
      <c r="H143" s="765"/>
      <c r="I143" s="396"/>
      <c r="J143" s="396"/>
      <c r="K143" s="396"/>
      <c r="L143" s="396"/>
    </row>
    <row r="144" spans="2:12" ht="12.75" customHeight="1" x14ac:dyDescent="0.25">
      <c r="B144" s="396" t="s">
        <v>595</v>
      </c>
      <c r="C144" s="396" t="s">
        <v>196</v>
      </c>
      <c r="D144" s="396"/>
      <c r="E144" s="396">
        <v>7728.5022889139964</v>
      </c>
      <c r="F144" s="396">
        <v>15457.004577827995</v>
      </c>
      <c r="G144" s="397">
        <v>31025.554549516597</v>
      </c>
      <c r="H144" s="765">
        <v>46594.104521205212</v>
      </c>
      <c r="I144" s="396">
        <v>45016.533950890807</v>
      </c>
      <c r="J144" s="396">
        <v>43430.995852443499</v>
      </c>
      <c r="K144" s="396">
        <v>42642.210567286311</v>
      </c>
      <c r="L144" s="396">
        <v>40275.854711814682</v>
      </c>
    </row>
    <row r="145" spans="2:12" ht="12.75" customHeight="1" x14ac:dyDescent="0.25">
      <c r="B145" s="597" t="s">
        <v>596</v>
      </c>
      <c r="C145" s="597" t="s">
        <v>65</v>
      </c>
      <c r="D145" s="597">
        <f>D12</f>
        <v>36</v>
      </c>
      <c r="E145" s="597">
        <f t="shared" ref="E145:L145" si="91">E12</f>
        <v>1080</v>
      </c>
      <c r="F145" s="597">
        <f t="shared" si="91"/>
        <v>5580</v>
      </c>
      <c r="G145" s="597">
        <f t="shared" si="91"/>
        <v>7200</v>
      </c>
      <c r="H145" s="771">
        <f t="shared" si="91"/>
        <v>9468</v>
      </c>
      <c r="I145" s="597">
        <f t="shared" si="91"/>
        <v>10800</v>
      </c>
      <c r="J145" s="597">
        <f t="shared" si="91"/>
        <v>11664</v>
      </c>
      <c r="K145" s="597">
        <f t="shared" si="91"/>
        <v>12600</v>
      </c>
      <c r="L145" s="597">
        <f t="shared" si="91"/>
        <v>13348.800000000001</v>
      </c>
    </row>
    <row r="146" spans="2:12" ht="12.75" customHeight="1" x14ac:dyDescent="0.25">
      <c r="B146" s="396" t="s">
        <v>598</v>
      </c>
      <c r="C146" s="396" t="s">
        <v>718</v>
      </c>
      <c r="D146" s="396"/>
      <c r="E146" s="396">
        <v>17.46</v>
      </c>
      <c r="F146" s="396">
        <v>34.92</v>
      </c>
      <c r="G146" s="397">
        <v>70.091999999999999</v>
      </c>
      <c r="H146" s="765">
        <v>105.264</v>
      </c>
      <c r="I146" s="396">
        <v>101.7</v>
      </c>
      <c r="J146" s="396">
        <v>98.117999999999995</v>
      </c>
      <c r="K146" s="396">
        <v>96.335999999999999</v>
      </c>
      <c r="L146" s="396">
        <v>90.99</v>
      </c>
    </row>
  </sheetData>
  <pageMargins left="0.75" right="0.75" top="1" bottom="1" header="0.5" footer="0.5"/>
  <pageSetup paperSize="9"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3"/>
  <sheetViews>
    <sheetView topLeftCell="A62" zoomScaleNormal="100" zoomScalePageLayoutView="125" workbookViewId="0">
      <selection activeCell="H101" sqref="H101"/>
    </sheetView>
  </sheetViews>
  <sheetFormatPr defaultColWidth="17.109375" defaultRowHeight="12.75" customHeight="1" outlineLevelRow="1" x14ac:dyDescent="0.25"/>
  <cols>
    <col min="1" max="1" width="9.44140625" style="97" customWidth="1"/>
    <col min="2" max="2" width="31.77734375" style="97" customWidth="1"/>
    <col min="3" max="3" width="8.44140625" style="97" customWidth="1"/>
    <col min="4" max="4" width="9.44140625" style="97" customWidth="1"/>
    <col min="5" max="5" width="9.109375" style="97" customWidth="1"/>
    <col min="6" max="6" width="9.44140625" style="97" customWidth="1"/>
    <col min="7" max="7" width="10.109375" style="198" customWidth="1"/>
    <col min="8" max="8" width="10" style="606" customWidth="1"/>
    <col min="9" max="9" width="9.6640625" style="97" customWidth="1"/>
    <col min="10" max="10" width="9.109375" style="97" customWidth="1"/>
    <col min="11" max="11" width="9.6640625" style="97" customWidth="1"/>
    <col min="12" max="12" width="8.77734375" style="97" customWidth="1"/>
    <col min="13" max="13" width="31.44140625" style="97" customWidth="1"/>
    <col min="14" max="14" width="8.77734375" style="97" customWidth="1"/>
    <col min="15" max="16384" width="17.109375" style="97"/>
  </cols>
  <sheetData>
    <row r="1" spans="1:26" ht="12.75" customHeight="1" x14ac:dyDescent="0.25">
      <c r="C1" s="97" t="s">
        <v>989</v>
      </c>
      <c r="D1" s="112">
        <v>1</v>
      </c>
      <c r="E1" s="112">
        <v>26.944444444444443</v>
      </c>
      <c r="F1" s="112">
        <v>53.888888888888886</v>
      </c>
      <c r="G1" s="360">
        <v>108.16666666666666</v>
      </c>
      <c r="H1" s="630">
        <v>162.44444444444443</v>
      </c>
      <c r="I1" s="112">
        <v>156.94444444444443</v>
      </c>
      <c r="J1" s="112">
        <v>151.41666666666666</v>
      </c>
      <c r="K1" s="112">
        <v>148.66666666666669</v>
      </c>
      <c r="L1" s="112">
        <v>140.41666666666666</v>
      </c>
    </row>
    <row r="2" spans="1:26" ht="15.6" x14ac:dyDescent="0.3">
      <c r="A2" s="962" t="s">
        <v>230</v>
      </c>
      <c r="B2" s="963"/>
      <c r="C2" s="963"/>
      <c r="D2" s="318">
        <v>1</v>
      </c>
      <c r="E2" s="318">
        <f t="shared" ref="E2:L2" si="0">E17/$F$9/$D$9</f>
        <v>17.616972630198187</v>
      </c>
      <c r="F2" s="318">
        <f t="shared" si="0"/>
        <v>35.233945260396375</v>
      </c>
      <c r="G2" s="415">
        <f t="shared" si="0"/>
        <v>87.181172692021605</v>
      </c>
      <c r="H2" s="701">
        <f t="shared" si="0"/>
        <v>139.12840012364688</v>
      </c>
      <c r="I2" s="318">
        <f t="shared" si="0"/>
        <v>142.53156032798037</v>
      </c>
      <c r="J2" s="318">
        <f t="shared" si="0"/>
        <v>145.93472053231383</v>
      </c>
      <c r="K2" s="318">
        <f t="shared" si="0"/>
        <v>147.63630063448059</v>
      </c>
      <c r="L2" s="318">
        <f t="shared" si="0"/>
        <v>152.74104094098078</v>
      </c>
    </row>
    <row r="3" spans="1:26" ht="12.75" customHeight="1" x14ac:dyDescent="0.25">
      <c r="A3" s="97" t="s">
        <v>7</v>
      </c>
      <c r="B3" s="428" t="s">
        <v>893</v>
      </c>
      <c r="C3" s="97" t="s">
        <v>78</v>
      </c>
      <c r="D3" s="318">
        <v>1</v>
      </c>
      <c r="E3" s="318">
        <f t="shared" ref="E3:L3" si="1">E17/$F$9/$D$9</f>
        <v>17.616972630198187</v>
      </c>
      <c r="F3" s="318">
        <f>F17/$F$9/$D$9</f>
        <v>35.233945260396375</v>
      </c>
      <c r="G3" s="415">
        <f t="shared" si="1"/>
        <v>87.181172692021605</v>
      </c>
      <c r="H3" s="701">
        <f t="shared" si="1"/>
        <v>139.12840012364688</v>
      </c>
      <c r="I3" s="318">
        <f t="shared" si="1"/>
        <v>142.53156032798037</v>
      </c>
      <c r="J3" s="318">
        <f t="shared" si="1"/>
        <v>145.93472053231383</v>
      </c>
      <c r="K3" s="318">
        <f t="shared" si="1"/>
        <v>147.63630063448059</v>
      </c>
      <c r="L3" s="318">
        <f t="shared" si="1"/>
        <v>152.74104094098078</v>
      </c>
      <c r="M3" s="102" t="s">
        <v>600</v>
      </c>
      <c r="N3" s="101"/>
    </row>
    <row r="4" spans="1:26" ht="12.75" customHeight="1" x14ac:dyDescent="0.25">
      <c r="A4" s="97" t="s">
        <v>7</v>
      </c>
      <c r="B4" s="103" t="s">
        <v>217</v>
      </c>
      <c r="C4" s="97" t="s">
        <v>78</v>
      </c>
      <c r="D4" s="413">
        <v>1</v>
      </c>
      <c r="E4" s="413">
        <f t="shared" ref="E4" si="2">E3-D3</f>
        <v>16.616972630198187</v>
      </c>
      <c r="F4" s="413">
        <f t="shared" ref="F4:L4" si="3">(F3-E3)/5</f>
        <v>3.5233945260396373</v>
      </c>
      <c r="G4" s="416">
        <f t="shared" si="3"/>
        <v>10.389445486325046</v>
      </c>
      <c r="H4" s="702">
        <f t="shared" si="3"/>
        <v>10.389445486325055</v>
      </c>
      <c r="I4" s="413">
        <f t="shared" si="3"/>
        <v>0.68063204086669771</v>
      </c>
      <c r="J4" s="413">
        <f t="shared" si="3"/>
        <v>0.68063204086669205</v>
      </c>
      <c r="K4" s="413">
        <f t="shared" si="3"/>
        <v>0.34031602043335168</v>
      </c>
      <c r="L4" s="413">
        <f t="shared" si="3"/>
        <v>1.0209480613000381</v>
      </c>
      <c r="M4" s="105">
        <f>H3/Biomet_max!L3</f>
        <v>0.37521143506916632</v>
      </c>
      <c r="N4" s="104"/>
      <c r="O4" s="97">
        <f>SUM(D4:M4)</f>
        <v>45.016997727423878</v>
      </c>
    </row>
    <row r="5" spans="1:26" ht="12.75" customHeight="1" x14ac:dyDescent="0.25">
      <c r="M5" s="98">
        <f>H3/L3</f>
        <v>0.91087764798857285</v>
      </c>
    </row>
    <row r="6" spans="1:26" ht="12.75" customHeight="1" x14ac:dyDescent="0.25">
      <c r="C6" s="97" t="s">
        <v>143</v>
      </c>
      <c r="D6" s="106">
        <v>2010</v>
      </c>
      <c r="E6" s="106">
        <v>2015</v>
      </c>
      <c r="F6" s="106">
        <v>2020</v>
      </c>
      <c r="G6" s="417">
        <v>2025</v>
      </c>
      <c r="H6" s="624">
        <v>2030</v>
      </c>
      <c r="I6" s="106">
        <v>2035</v>
      </c>
      <c r="J6" s="106">
        <v>2040</v>
      </c>
      <c r="K6" s="106">
        <v>2045</v>
      </c>
      <c r="L6" s="106">
        <v>2050</v>
      </c>
      <c r="M6" s="102"/>
      <c r="N6" s="106"/>
    </row>
    <row r="7" spans="1:26" ht="12.75" customHeight="1" x14ac:dyDescent="0.25">
      <c r="B7" s="154" t="s">
        <v>142</v>
      </c>
      <c r="C7" s="97" t="s">
        <v>7</v>
      </c>
      <c r="M7" s="98"/>
    </row>
    <row r="8" spans="1:26" ht="24" customHeight="1" outlineLevel="1" x14ac:dyDescent="0.25">
      <c r="B8" s="154"/>
      <c r="D8" s="198" t="s">
        <v>134</v>
      </c>
      <c r="E8" s="198" t="s">
        <v>135</v>
      </c>
      <c r="F8" s="198" t="s">
        <v>136</v>
      </c>
      <c r="G8" s="198" t="s">
        <v>137</v>
      </c>
      <c r="M8" s="98"/>
    </row>
    <row r="9" spans="1:26" ht="12.75" customHeight="1" outlineLevel="1" x14ac:dyDescent="0.25">
      <c r="D9" s="198">
        <v>3.6</v>
      </c>
      <c r="E9" s="198">
        <v>2.3883999999999999E-2</v>
      </c>
      <c r="F9" s="198">
        <v>10</v>
      </c>
      <c r="M9" s="98"/>
    </row>
    <row r="10" spans="1:26" ht="12.75" customHeight="1" outlineLevel="1" x14ac:dyDescent="0.25">
      <c r="B10" s="97" t="s">
        <v>146</v>
      </c>
      <c r="C10" s="97" t="s">
        <v>147</v>
      </c>
      <c r="D10" s="112">
        <f t="shared" ref="D10:L10" si="4">D3*$F$9</f>
        <v>10</v>
      </c>
      <c r="E10" s="112">
        <f t="shared" si="4"/>
        <v>176.16972630198188</v>
      </c>
      <c r="F10" s="112">
        <f>F3*$F$9</f>
        <v>352.33945260396376</v>
      </c>
      <c r="G10" s="360">
        <f t="shared" si="4"/>
        <v>871.81172692021607</v>
      </c>
      <c r="H10" s="630">
        <f t="shared" si="4"/>
        <v>1391.2840012364688</v>
      </c>
      <c r="I10" s="112">
        <f t="shared" si="4"/>
        <v>1425.3156032798038</v>
      </c>
      <c r="J10" s="112">
        <f t="shared" si="4"/>
        <v>1459.3472053231383</v>
      </c>
      <c r="K10" s="112">
        <f t="shared" si="4"/>
        <v>1476.3630063448059</v>
      </c>
      <c r="L10" s="112">
        <f t="shared" si="4"/>
        <v>1527.4104094098079</v>
      </c>
      <c r="M10" s="108"/>
      <c r="N10" s="107"/>
      <c r="U10" s="97">
        <v>2000</v>
      </c>
      <c r="V10" s="97">
        <v>2630</v>
      </c>
      <c r="W10" s="97">
        <v>3000</v>
      </c>
      <c r="X10" s="97">
        <v>3240</v>
      </c>
      <c r="Y10" s="97">
        <v>3500</v>
      </c>
      <c r="Z10" s="97">
        <v>3708</v>
      </c>
    </row>
    <row r="11" spans="1:26" s="425" customFormat="1" ht="12.75" customHeight="1" outlineLevel="1" x14ac:dyDescent="0.25">
      <c r="B11" s="425" t="s">
        <v>146</v>
      </c>
      <c r="C11" s="434" t="s">
        <v>65</v>
      </c>
      <c r="D11" s="435">
        <f>D10*$D$9</f>
        <v>36</v>
      </c>
      <c r="E11" s="435">
        <f>E10*D9</f>
        <v>634.21101468713482</v>
      </c>
      <c r="F11" s="435">
        <f>F10*$D$9</f>
        <v>1268.4220293742696</v>
      </c>
      <c r="G11" s="435">
        <f t="shared" ref="G11:L11" si="5">G10*$D$9</f>
        <v>3138.5222169127778</v>
      </c>
      <c r="H11" s="703">
        <f t="shared" si="5"/>
        <v>5008.6224044512883</v>
      </c>
      <c r="I11" s="435">
        <f t="shared" si="5"/>
        <v>5131.136171807294</v>
      </c>
      <c r="J11" s="435">
        <f t="shared" si="5"/>
        <v>5253.6499391632979</v>
      </c>
      <c r="K11" s="435">
        <f t="shared" si="5"/>
        <v>5314.9068228413016</v>
      </c>
      <c r="L11" s="435">
        <f t="shared" si="5"/>
        <v>5498.6774738753084</v>
      </c>
      <c r="M11" s="436"/>
      <c r="N11" s="437"/>
      <c r="U11" s="425">
        <v>2000</v>
      </c>
      <c r="V11" s="425">
        <v>2630</v>
      </c>
      <c r="W11" s="425">
        <v>3000</v>
      </c>
      <c r="X11" s="425">
        <v>3240</v>
      </c>
      <c r="Y11" s="425">
        <v>3500</v>
      </c>
      <c r="Z11" s="425">
        <v>3708</v>
      </c>
    </row>
    <row r="12" spans="1:26" ht="12.75" customHeight="1" outlineLevel="1" x14ac:dyDescent="0.25">
      <c r="B12" s="97" t="s">
        <v>218</v>
      </c>
      <c r="C12" s="104" t="s">
        <v>65</v>
      </c>
      <c r="D12" s="97">
        <f t="shared" ref="D12:L12" si="6">(D4*10)*$D$9</f>
        <v>36</v>
      </c>
      <c r="E12" s="112">
        <f t="shared" si="6"/>
        <v>598.21101468713482</v>
      </c>
      <c r="F12" s="112">
        <f t="shared" si="6"/>
        <v>126.84220293742695</v>
      </c>
      <c r="G12" s="360">
        <f t="shared" si="6"/>
        <v>374.02003750770166</v>
      </c>
      <c r="H12" s="630">
        <f t="shared" si="6"/>
        <v>374.020037507702</v>
      </c>
      <c r="I12" s="112">
        <f t="shared" si="6"/>
        <v>24.502753471201117</v>
      </c>
      <c r="J12" s="112">
        <f t="shared" si="6"/>
        <v>24.502753471200915</v>
      </c>
      <c r="K12" s="112">
        <f t="shared" si="6"/>
        <v>12.251376735600662</v>
      </c>
      <c r="L12" s="112">
        <f t="shared" si="6"/>
        <v>36.754130206801371</v>
      </c>
      <c r="M12" s="113"/>
      <c r="N12" s="112"/>
      <c r="O12" s="97">
        <f>SUM(D12:L12)</f>
        <v>1607.1043065247698</v>
      </c>
    </row>
    <row r="13" spans="1:26" ht="12.75" customHeight="1" outlineLevel="1" x14ac:dyDescent="0.25">
      <c r="C13" s="114"/>
      <c r="E13" s="112"/>
      <c r="F13" s="112"/>
      <c r="G13" s="360"/>
      <c r="H13" s="630"/>
      <c r="I13" s="112"/>
      <c r="J13" s="112"/>
      <c r="K13" s="112"/>
      <c r="L13" s="112"/>
      <c r="M13" s="113"/>
      <c r="N13" s="112"/>
    </row>
    <row r="14" spans="1:26" ht="12.75" customHeight="1" outlineLevel="1" x14ac:dyDescent="0.25">
      <c r="B14" s="97" t="s">
        <v>146</v>
      </c>
      <c r="C14" s="97" t="s">
        <v>16</v>
      </c>
      <c r="D14" s="115">
        <f t="shared" ref="D14:L14" si="7">D11*$E$9</f>
        <v>0.85982399999999992</v>
      </c>
      <c r="E14" s="112">
        <f t="shared" si="7"/>
        <v>15.147495874787527</v>
      </c>
      <c r="F14" s="112">
        <f t="shared" si="7"/>
        <v>30.294991749575054</v>
      </c>
      <c r="G14" s="360">
        <f t="shared" si="7"/>
        <v>74.960464628744788</v>
      </c>
      <c r="H14" s="630">
        <f t="shared" si="7"/>
        <v>119.62593750791456</v>
      </c>
      <c r="I14" s="112">
        <f t="shared" si="7"/>
        <v>122.5520563274454</v>
      </c>
      <c r="J14" s="112">
        <f t="shared" si="7"/>
        <v>125.4781751469762</v>
      </c>
      <c r="K14" s="112">
        <f t="shared" si="7"/>
        <v>126.94123455674165</v>
      </c>
      <c r="L14" s="112">
        <f t="shared" si="7"/>
        <v>131.33041278603787</v>
      </c>
      <c r="M14" s="113"/>
      <c r="N14" s="112"/>
      <c r="O14" s="97" t="s">
        <v>129</v>
      </c>
      <c r="P14" s="97" t="s">
        <v>129</v>
      </c>
    </row>
    <row r="15" spans="1:26" ht="12.75" customHeight="1" outlineLevel="1" x14ac:dyDescent="0.25">
      <c r="B15" s="154" t="s">
        <v>149</v>
      </c>
      <c r="D15" s="107"/>
      <c r="E15" s="107"/>
      <c r="F15" s="107">
        <v>92</v>
      </c>
      <c r="G15" s="361"/>
      <c r="H15" s="633"/>
      <c r="I15" s="107"/>
      <c r="J15" s="107"/>
      <c r="K15" s="107"/>
      <c r="L15" s="107"/>
      <c r="M15" s="108"/>
      <c r="N15" s="107"/>
      <c r="O15" s="97" t="s">
        <v>7</v>
      </c>
    </row>
    <row r="16" spans="1:26" s="308" customFormat="1" ht="12.75" customHeight="1" x14ac:dyDescent="0.3">
      <c r="A16" s="308" t="s">
        <v>1199</v>
      </c>
      <c r="B16" s="927" t="s">
        <v>13</v>
      </c>
      <c r="C16" s="928"/>
      <c r="D16" s="956">
        <v>0</v>
      </c>
      <c r="E16" s="956">
        <v>634.21101468713482</v>
      </c>
      <c r="F16" s="956">
        <v>1268.4220293742696</v>
      </c>
      <c r="G16" s="956">
        <v>3138.5222169127783</v>
      </c>
      <c r="H16" s="956">
        <v>5008.6224044512874</v>
      </c>
      <c r="I16" s="956">
        <v>5131.1361718072931</v>
      </c>
      <c r="J16" s="956">
        <v>5253.6499391632979</v>
      </c>
      <c r="K16" s="956">
        <v>5314.9068228413007</v>
      </c>
      <c r="L16" s="956">
        <v>5498.6774738753084</v>
      </c>
      <c r="M16" s="331"/>
      <c r="N16" s="331"/>
      <c r="O16" s="308">
        <f>SUM(D16:L16)</f>
        <v>31248.148073112672</v>
      </c>
      <c r="P16" s="308">
        <f>O17*P17</f>
        <v>156240.74036556337</v>
      </c>
      <c r="Q16" s="308" t="s">
        <v>7</v>
      </c>
    </row>
    <row r="17" spans="1:19" ht="12.75" customHeight="1" x14ac:dyDescent="0.25">
      <c r="A17" s="95"/>
      <c r="B17" s="95" t="s">
        <v>150</v>
      </c>
      <c r="C17" s="95" t="s">
        <v>65</v>
      </c>
      <c r="D17" s="95">
        <v>0</v>
      </c>
      <c r="E17" s="95">
        <v>634.21101468713482</v>
      </c>
      <c r="F17" s="95">
        <v>1268.4220293742696</v>
      </c>
      <c r="G17" s="198">
        <v>3138.5222169127783</v>
      </c>
      <c r="H17" s="606">
        <v>5008.6224044512874</v>
      </c>
      <c r="I17" s="95">
        <v>5131.1361718072931</v>
      </c>
      <c r="J17" s="95">
        <v>5253.6499391632979</v>
      </c>
      <c r="K17" s="95">
        <v>5314.9068228413007</v>
      </c>
      <c r="L17" s="95">
        <v>5498.6774738753084</v>
      </c>
      <c r="M17" s="108" t="s">
        <v>599</v>
      </c>
      <c r="O17" s="97">
        <f>SUM(D17:L17)</f>
        <v>31248.148073112672</v>
      </c>
      <c r="P17" s="97">
        <v>5</v>
      </c>
      <c r="Q17" s="97" t="s">
        <v>7</v>
      </c>
      <c r="R17" s="97">
        <f>O16/P17</f>
        <v>6249.6296146225341</v>
      </c>
      <c r="S17" s="97" t="s">
        <v>7</v>
      </c>
    </row>
    <row r="18" spans="1:19" ht="12.75" customHeight="1" x14ac:dyDescent="0.25">
      <c r="C18" s="97" t="s">
        <v>16</v>
      </c>
      <c r="D18" s="112">
        <v>0</v>
      </c>
      <c r="E18" s="112">
        <v>15</v>
      </c>
      <c r="F18" s="112">
        <v>30</v>
      </c>
      <c r="G18" s="360">
        <v>74</v>
      </c>
      <c r="H18" s="630">
        <v>118</v>
      </c>
      <c r="I18" s="112">
        <v>121</v>
      </c>
      <c r="J18" s="112">
        <v>124</v>
      </c>
      <c r="K18" s="112">
        <v>126</v>
      </c>
      <c r="L18" s="112">
        <v>131</v>
      </c>
      <c r="M18" s="112"/>
      <c r="N18" s="112"/>
      <c r="Q18" s="112" t="s">
        <v>138</v>
      </c>
      <c r="R18" s="97" t="s">
        <v>139</v>
      </c>
      <c r="S18" s="97" t="s">
        <v>140</v>
      </c>
    </row>
    <row r="19" spans="1:19" ht="12.75" customHeight="1" x14ac:dyDescent="0.25">
      <c r="D19" s="107" t="s">
        <v>7</v>
      </c>
      <c r="E19" s="107" t="s">
        <v>229</v>
      </c>
      <c r="F19" s="107" t="s">
        <v>7</v>
      </c>
      <c r="G19" s="361" t="s">
        <v>7</v>
      </c>
      <c r="H19" s="633" t="s">
        <v>7</v>
      </c>
      <c r="I19" s="107" t="s">
        <v>7</v>
      </c>
      <c r="J19" s="107" t="s">
        <v>7</v>
      </c>
      <c r="K19" s="107" t="s">
        <v>7</v>
      </c>
      <c r="L19" s="107" t="s">
        <v>7</v>
      </c>
      <c r="M19" s="107"/>
      <c r="N19" s="107"/>
      <c r="Q19" s="97">
        <f>Lähteeeldused!M11</f>
        <v>8.5980000000000001E-2</v>
      </c>
      <c r="R19" s="97" t="s">
        <v>141</v>
      </c>
    </row>
    <row r="20" spans="1:19" ht="12.75" customHeight="1" x14ac:dyDescent="0.25">
      <c r="B20" s="97" t="s">
        <v>151</v>
      </c>
      <c r="C20" s="97" t="s">
        <v>65</v>
      </c>
      <c r="D20" s="112">
        <v>29886.140291495798</v>
      </c>
      <c r="E20" s="112">
        <v>32684.968828523961</v>
      </c>
      <c r="F20" s="112">
        <v>35483.797365552127</v>
      </c>
      <c r="G20" s="360">
        <v>37790.450334000132</v>
      </c>
      <c r="H20" s="630">
        <v>40097.103302448137</v>
      </c>
      <c r="I20" s="112">
        <v>38657.5325725941</v>
      </c>
      <c r="J20" s="112">
        <v>37217.961842740049</v>
      </c>
      <c r="K20" s="112">
        <v>36498.176477813016</v>
      </c>
      <c r="L20" s="112">
        <v>34338.82038303194</v>
      </c>
      <c r="M20" s="112"/>
      <c r="N20" s="112"/>
      <c r="Q20" s="97">
        <v>10</v>
      </c>
      <c r="R20" s="97" t="s">
        <v>144</v>
      </c>
      <c r="S20" s="97" t="s">
        <v>145</v>
      </c>
    </row>
    <row r="21" spans="1:19" ht="12.75" hidden="1" customHeight="1" x14ac:dyDescent="0.25">
      <c r="C21" s="97" t="s">
        <v>16</v>
      </c>
      <c r="D21" s="97">
        <v>714</v>
      </c>
      <c r="E21" s="97">
        <v>779</v>
      </c>
      <c r="F21" s="97">
        <v>845</v>
      </c>
      <c r="G21" s="198">
        <v>890</v>
      </c>
      <c r="H21" s="606">
        <v>936</v>
      </c>
      <c r="I21" s="97">
        <v>907</v>
      </c>
      <c r="J21" s="97">
        <v>878</v>
      </c>
      <c r="K21" s="97">
        <v>864</v>
      </c>
      <c r="L21" s="97">
        <v>820</v>
      </c>
      <c r="O21" s="107" t="s">
        <v>7</v>
      </c>
      <c r="R21" s="97">
        <v>0</v>
      </c>
      <c r="S21" s="97">
        <v>300</v>
      </c>
    </row>
    <row r="22" spans="1:19" ht="12.75" customHeight="1" x14ac:dyDescent="0.25">
      <c r="B22" s="97" t="s">
        <v>153</v>
      </c>
      <c r="C22" s="97" t="s">
        <v>154</v>
      </c>
      <c r="D22" s="116">
        <f t="shared" ref="D22:L22" si="8">D17/D20</f>
        <v>0</v>
      </c>
      <c r="E22" s="116">
        <f t="shared" si="8"/>
        <v>1.9403751553639634E-2</v>
      </c>
      <c r="F22" s="116">
        <f t="shared" si="8"/>
        <v>3.5746513156612175E-2</v>
      </c>
      <c r="G22" s="418">
        <f t="shared" si="8"/>
        <v>8.3050669922529199E-2</v>
      </c>
      <c r="H22" s="704">
        <f t="shared" si="8"/>
        <v>0.12491232512911936</v>
      </c>
      <c r="I22" s="116">
        <f t="shared" si="8"/>
        <v>0.13273315264422655</v>
      </c>
      <c r="J22" s="116">
        <f t="shared" si="8"/>
        <v>0.14115899095608603</v>
      </c>
      <c r="K22" s="116">
        <f t="shared" si="8"/>
        <v>0.14562116071941827</v>
      </c>
      <c r="L22" s="116">
        <f t="shared" si="8"/>
        <v>0.1601300630755623</v>
      </c>
      <c r="M22" s="116"/>
      <c r="N22" s="116"/>
      <c r="R22" s="97">
        <v>0</v>
      </c>
      <c r="S22" s="97">
        <v>300</v>
      </c>
    </row>
    <row r="23" spans="1:19" ht="12.75" customHeight="1" x14ac:dyDescent="0.25">
      <c r="B23" s="154" t="s">
        <v>602</v>
      </c>
      <c r="D23" s="107"/>
      <c r="E23" s="107"/>
      <c r="F23" s="107"/>
      <c r="G23" s="361"/>
      <c r="H23" s="633"/>
      <c r="I23" s="107"/>
      <c r="J23" s="107"/>
      <c r="K23" s="107"/>
      <c r="L23" s="107"/>
      <c r="M23" s="107"/>
      <c r="N23" s="107"/>
      <c r="O23" s="97">
        <f>SUM(D23:L23)</f>
        <v>0</v>
      </c>
      <c r="P23" s="97">
        <f>O24*P17</f>
        <v>180</v>
      </c>
    </row>
    <row r="24" spans="1:19" ht="12.75" customHeight="1" x14ac:dyDescent="0.25">
      <c r="B24" s="169" t="s">
        <v>155</v>
      </c>
      <c r="C24" s="97" t="s">
        <v>65</v>
      </c>
      <c r="D24" s="112">
        <f t="shared" ref="D24:L24" si="9">D11-D17</f>
        <v>36</v>
      </c>
      <c r="E24" s="112">
        <f t="shared" si="9"/>
        <v>0</v>
      </c>
      <c r="F24" s="112">
        <f t="shared" si="9"/>
        <v>0</v>
      </c>
      <c r="G24" s="360">
        <f>G11-G17</f>
        <v>0</v>
      </c>
      <c r="H24" s="705">
        <f t="shared" si="9"/>
        <v>0</v>
      </c>
      <c r="I24" s="113">
        <f t="shared" si="9"/>
        <v>0</v>
      </c>
      <c r="J24" s="113">
        <f>J11-J17</f>
        <v>0</v>
      </c>
      <c r="K24" s="113">
        <f t="shared" si="9"/>
        <v>0</v>
      </c>
      <c r="L24" s="113">
        <f t="shared" si="9"/>
        <v>0</v>
      </c>
      <c r="M24" s="159" t="s">
        <v>617</v>
      </c>
      <c r="N24" s="107"/>
      <c r="O24" s="97">
        <f>SUM(D24:L24)</f>
        <v>36</v>
      </c>
    </row>
    <row r="25" spans="1:19" ht="12.75" hidden="1" customHeight="1" x14ac:dyDescent="0.25">
      <c r="B25" s="169"/>
      <c r="C25" s="97" t="s">
        <v>16</v>
      </c>
      <c r="D25" s="107">
        <f t="shared" ref="D25:L25" si="10">D24*$E$9</f>
        <v>0.85982399999999992</v>
      </c>
      <c r="E25" s="107">
        <f t="shared" si="10"/>
        <v>0</v>
      </c>
      <c r="F25" s="107">
        <f t="shared" si="10"/>
        <v>0</v>
      </c>
      <c r="G25" s="361">
        <f t="shared" si="10"/>
        <v>0</v>
      </c>
      <c r="H25" s="633">
        <f t="shared" si="10"/>
        <v>0</v>
      </c>
      <c r="I25" s="107">
        <f t="shared" si="10"/>
        <v>0</v>
      </c>
      <c r="J25" s="107">
        <f t="shared" si="10"/>
        <v>0</v>
      </c>
      <c r="K25" s="107">
        <f t="shared" si="10"/>
        <v>0</v>
      </c>
      <c r="L25" s="107">
        <f t="shared" si="10"/>
        <v>0</v>
      </c>
      <c r="M25" s="107"/>
      <c r="N25" s="107"/>
      <c r="P25" s="115" t="s">
        <v>7</v>
      </c>
    </row>
    <row r="26" spans="1:19" ht="12.75" customHeight="1" x14ac:dyDescent="0.25">
      <c r="B26" s="169" t="s">
        <v>156</v>
      </c>
      <c r="C26" s="97" t="s">
        <v>154</v>
      </c>
      <c r="D26" s="152">
        <v>0</v>
      </c>
      <c r="E26" s="152">
        <f t="shared" ref="E26:L26" si="11">E24/E11</f>
        <v>0</v>
      </c>
      <c r="F26" s="152">
        <f t="shared" si="11"/>
        <v>0</v>
      </c>
      <c r="G26" s="419">
        <f t="shared" si="11"/>
        <v>0</v>
      </c>
      <c r="H26" s="706">
        <f t="shared" si="11"/>
        <v>0</v>
      </c>
      <c r="I26" s="152">
        <f t="shared" si="11"/>
        <v>0</v>
      </c>
      <c r="J26" s="152">
        <f t="shared" si="11"/>
        <v>0</v>
      </c>
      <c r="K26" s="152">
        <f t="shared" si="11"/>
        <v>0</v>
      </c>
      <c r="L26" s="152">
        <f t="shared" si="11"/>
        <v>0</v>
      </c>
      <c r="M26" s="116"/>
      <c r="N26" s="116"/>
    </row>
    <row r="27" spans="1:19" ht="12.75" customHeight="1" x14ac:dyDescent="0.25">
      <c r="A27" s="97">
        <f>uus_info!C5</f>
        <v>0.1</v>
      </c>
      <c r="B27" s="154" t="s">
        <v>601</v>
      </c>
      <c r="D27" s="116"/>
      <c r="E27" s="116"/>
      <c r="F27" s="116"/>
      <c r="G27" s="418"/>
      <c r="H27" s="704"/>
      <c r="I27" s="116"/>
      <c r="J27" s="116"/>
      <c r="K27" s="116"/>
      <c r="L27" s="116"/>
      <c r="M27" s="116"/>
      <c r="N27" s="116"/>
    </row>
    <row r="28" spans="1:19" ht="12.75" customHeight="1" x14ac:dyDescent="0.25">
      <c r="A28" s="596">
        <f>((A57+A27)*1.07)-A82-A83</f>
        <v>0.80338805761545784</v>
      </c>
      <c r="B28" s="169" t="s">
        <v>219</v>
      </c>
      <c r="D28" s="107"/>
      <c r="E28" s="107"/>
      <c r="F28" s="107"/>
      <c r="G28" s="361"/>
      <c r="H28" s="633"/>
      <c r="I28" s="107"/>
      <c r="J28" s="107"/>
      <c r="K28" s="107"/>
      <c r="L28" s="107"/>
      <c r="M28" s="107"/>
      <c r="N28" s="107"/>
    </row>
    <row r="29" spans="1:19" ht="12.75" customHeight="1" x14ac:dyDescent="0.25">
      <c r="A29" s="97">
        <f>Biomet_max!A30</f>
        <v>22.316334933762718</v>
      </c>
      <c r="B29" s="169" t="s">
        <v>157</v>
      </c>
      <c r="C29" s="97" t="s">
        <v>158</v>
      </c>
      <c r="D29" s="118">
        <f>Biomet_max!D30</f>
        <v>22.316334933762718</v>
      </c>
      <c r="E29" s="118">
        <f>Biomet_max!E30</f>
        <v>22.507072839179497</v>
      </c>
      <c r="F29" s="118">
        <f>Biomet_max!F30</f>
        <v>22.697810744596271</v>
      </c>
      <c r="G29" s="118">
        <f>Biomet_max!G30</f>
        <v>22.888548650013046</v>
      </c>
      <c r="H29" s="118">
        <f>Biomet_max!H30</f>
        <v>23.460762366263371</v>
      </c>
      <c r="I29" s="118">
        <f>Biomet_max!I30</f>
        <v>24.223713987930473</v>
      </c>
      <c r="J29" s="118">
        <f>Biomet_max!J30</f>
        <v>24.998872835544248</v>
      </c>
      <c r="K29" s="118">
        <f>Biomet_max!K30</f>
        <v>25.798836766281667</v>
      </c>
      <c r="L29" s="118">
        <f>Biomet_max!L30</f>
        <v>26.624399542802681</v>
      </c>
      <c r="M29" s="107"/>
      <c r="N29" s="107"/>
    </row>
    <row r="30" spans="1:19" ht="12.75" customHeight="1" x14ac:dyDescent="0.25">
      <c r="A30" s="115">
        <f>Biomet_max!A33</f>
        <v>13.357338820301782</v>
      </c>
      <c r="B30" s="169" t="s">
        <v>888</v>
      </c>
      <c r="C30" s="97" t="s">
        <v>158</v>
      </c>
      <c r="D30" s="272">
        <f>A30</f>
        <v>13.357338820301782</v>
      </c>
      <c r="E30" s="272">
        <f>D30</f>
        <v>13.357338820301782</v>
      </c>
      <c r="F30" s="272">
        <f t="shared" ref="F30:L30" si="12">E30</f>
        <v>13.357338820301782</v>
      </c>
      <c r="G30" s="420">
        <f t="shared" si="12"/>
        <v>13.357338820301782</v>
      </c>
      <c r="H30" s="707">
        <f t="shared" si="12"/>
        <v>13.357338820301782</v>
      </c>
      <c r="I30" s="272">
        <f t="shared" si="12"/>
        <v>13.357338820301782</v>
      </c>
      <c r="J30" s="272">
        <f t="shared" si="12"/>
        <v>13.357338820301782</v>
      </c>
      <c r="K30" s="272">
        <f t="shared" si="12"/>
        <v>13.357338820301782</v>
      </c>
      <c r="L30" s="272">
        <f t="shared" si="12"/>
        <v>13.357338820301782</v>
      </c>
      <c r="M30" s="272" t="s">
        <v>734</v>
      </c>
      <c r="N30" s="107"/>
    </row>
    <row r="31" spans="1:19" s="293" customFormat="1" ht="12.75" customHeight="1" x14ac:dyDescent="0.25">
      <c r="A31" s="292" t="s">
        <v>800</v>
      </c>
      <c r="B31" s="305" t="s">
        <v>889</v>
      </c>
      <c r="C31" s="293" t="s">
        <v>158</v>
      </c>
      <c r="D31" s="302">
        <f>Biomet_max!D31</f>
        <v>13.357338820301782</v>
      </c>
      <c r="E31" s="302">
        <f>Biomet_max!E31</f>
        <v>13.357338820301782</v>
      </c>
      <c r="F31" s="302">
        <f>Biomet_max!F31</f>
        <v>22.697810744596271</v>
      </c>
      <c r="G31" s="302">
        <f>Biomet_max!G31</f>
        <v>22.888548650013046</v>
      </c>
      <c r="H31" s="302">
        <f>Biomet_max!H31</f>
        <v>23.460762366263371</v>
      </c>
      <c r="I31" s="302">
        <f>Biomet_max!I31</f>
        <v>24.223713987930473</v>
      </c>
      <c r="J31" s="302">
        <f>Biomet_max!J31</f>
        <v>24.998872835544248</v>
      </c>
      <c r="K31" s="302">
        <f>Biomet_max!K31</f>
        <v>25.798836766281667</v>
      </c>
      <c r="L31" s="302">
        <f>Biomet_max!L31</f>
        <v>26.624399542802681</v>
      </c>
    </row>
    <row r="32" spans="1:19" ht="12" customHeight="1" x14ac:dyDescent="0.25">
      <c r="A32" s="274"/>
      <c r="B32" s="305" t="s">
        <v>805</v>
      </c>
      <c r="C32" s="293"/>
      <c r="D32" s="302"/>
      <c r="E32" s="332"/>
      <c r="F32" s="332"/>
      <c r="G32" s="371"/>
      <c r="H32" s="708"/>
      <c r="I32" s="302"/>
      <c r="J32" s="302"/>
      <c r="K32" s="302"/>
      <c r="L32" s="302"/>
      <c r="M32" s="108"/>
    </row>
    <row r="33" spans="1:22" ht="12.75" customHeight="1" x14ac:dyDescent="0.25">
      <c r="B33" s="169" t="s">
        <v>161</v>
      </c>
      <c r="C33" s="97" t="s">
        <v>158</v>
      </c>
      <c r="E33" s="107">
        <v>18.018999999999998</v>
      </c>
      <c r="F33" s="107">
        <v>18.344000000000001</v>
      </c>
      <c r="G33" s="361">
        <v>18.831</v>
      </c>
      <c r="H33" s="633">
        <v>19.641999999999999</v>
      </c>
      <c r="I33" s="107">
        <v>20.779</v>
      </c>
      <c r="J33" s="107">
        <v>21.593</v>
      </c>
      <c r="K33" s="107">
        <v>22.407</v>
      </c>
      <c r="L33" s="107">
        <v>23.22</v>
      </c>
      <c r="M33" s="107"/>
      <c r="N33" s="107"/>
      <c r="P33" s="97" t="s">
        <v>152</v>
      </c>
    </row>
    <row r="34" spans="1:22" ht="12.75" customHeight="1" x14ac:dyDescent="0.25">
      <c r="B34" s="169" t="s">
        <v>891</v>
      </c>
      <c r="C34" s="97" t="s">
        <v>158</v>
      </c>
      <c r="D34" s="107">
        <f>D31-D30</f>
        <v>0</v>
      </c>
      <c r="E34" s="107">
        <f t="shared" ref="E34:L34" si="13">E31-E30</f>
        <v>0</v>
      </c>
      <c r="F34" s="107">
        <f t="shared" si="13"/>
        <v>9.3404719242944889</v>
      </c>
      <c r="G34" s="107">
        <f t="shared" si="13"/>
        <v>9.5312098297112637</v>
      </c>
      <c r="H34" s="633">
        <f t="shared" si="13"/>
        <v>10.103423545961588</v>
      </c>
      <c r="I34" s="107">
        <f t="shared" si="13"/>
        <v>10.866375167628691</v>
      </c>
      <c r="J34" s="107">
        <f t="shared" si="13"/>
        <v>11.641534015242465</v>
      </c>
      <c r="K34" s="107">
        <f t="shared" si="13"/>
        <v>12.441497945979885</v>
      </c>
      <c r="L34" s="107">
        <f t="shared" si="13"/>
        <v>13.267060722500899</v>
      </c>
      <c r="M34" s="107"/>
      <c r="N34" s="107"/>
    </row>
    <row r="35" spans="1:22" s="425" customFormat="1" ht="12.75" customHeight="1" x14ac:dyDescent="0.25">
      <c r="B35" s="426" t="s">
        <v>890</v>
      </c>
      <c r="C35" s="425" t="str">
        <f>C39</f>
        <v>M€/a</v>
      </c>
      <c r="D35" s="427">
        <f>D34*'kütuste tarbimine EE'!C34/1000</f>
        <v>0</v>
      </c>
      <c r="E35" s="427">
        <f>E34*'kütuste tarbimine EE'!D34/1000</f>
        <v>0</v>
      </c>
      <c r="F35" s="427">
        <f>F34*'kütuste tarbimine EE'!E34/1000</f>
        <v>6.3367918451250507</v>
      </c>
      <c r="G35" s="427">
        <f>G34*'kütuste tarbimine EE'!F34/1000</f>
        <v>16.839975246155625</v>
      </c>
      <c r="H35" s="633">
        <f>H34*'kütuste tarbimine EE'!G34/1000</f>
        <v>28.847557099599957</v>
      </c>
      <c r="I35" s="427">
        <f>I34*'kütuste tarbimine EE'!H34/1000</f>
        <v>31.190444823389324</v>
      </c>
      <c r="J35" s="427">
        <f>J34*'kütuste tarbimine EE'!I34/1000</f>
        <v>33.591654684178067</v>
      </c>
      <c r="K35" s="427">
        <f>K34*'kütuste tarbimine EE'!J34/1000</f>
        <v>35.99411701907529</v>
      </c>
      <c r="L35" s="427">
        <f>L34*'kütuste tarbimine EE'!K34/1000</f>
        <v>38.683770244402588</v>
      </c>
      <c r="M35" s="427">
        <f>SUM(D35:L35)</f>
        <v>191.4843109619259</v>
      </c>
      <c r="N35" s="427"/>
    </row>
    <row r="36" spans="1:22" ht="12.75" customHeight="1" x14ac:dyDescent="0.25">
      <c r="A36" s="115">
        <f>((E36/1000)/10)/3.6</f>
        <v>0.49558333333333332</v>
      </c>
      <c r="B36" s="169" t="s">
        <v>162</v>
      </c>
      <c r="C36" s="97" t="s">
        <v>163</v>
      </c>
      <c r="E36" s="112">
        <v>17841</v>
      </c>
      <c r="F36" s="112">
        <v>17992</v>
      </c>
      <c r="G36" s="360">
        <v>18143</v>
      </c>
      <c r="H36" s="630">
        <v>18597</v>
      </c>
      <c r="I36" s="112">
        <v>19201</v>
      </c>
      <c r="J36" s="112">
        <v>19661</v>
      </c>
      <c r="K36" s="112">
        <v>20121</v>
      </c>
      <c r="L36" s="112">
        <v>20581</v>
      </c>
      <c r="M36" s="112">
        <f>D35+E35+F35+G35</f>
        <v>23.176767091280674</v>
      </c>
      <c r="N36" s="112"/>
      <c r="P36" s="97">
        <v>37710</v>
      </c>
    </row>
    <row r="37" spans="1:22" ht="12.75" customHeight="1" x14ac:dyDescent="0.25">
      <c r="A37" s="115"/>
      <c r="B37" s="154" t="s">
        <v>604</v>
      </c>
      <c r="E37" s="112"/>
      <c r="F37" s="112"/>
      <c r="G37" s="360"/>
      <c r="H37" s="630"/>
      <c r="I37" s="112"/>
      <c r="J37" s="112"/>
      <c r="K37" s="112"/>
      <c r="L37" s="112"/>
      <c r="M37" s="112"/>
      <c r="N37" s="112"/>
    </row>
    <row r="38" spans="1:22" ht="12.75" customHeight="1" x14ac:dyDescent="0.25">
      <c r="B38" s="169" t="s">
        <v>164</v>
      </c>
      <c r="C38" s="97" t="s">
        <v>158</v>
      </c>
      <c r="D38" s="107">
        <v>0</v>
      </c>
      <c r="E38" s="107">
        <f t="shared" ref="E38:F38" si="14">E29-E31</f>
        <v>9.1497340188777141</v>
      </c>
      <c r="F38" s="107">
        <f t="shared" si="14"/>
        <v>0</v>
      </c>
      <c r="G38" s="107">
        <f>IF(G29-G31&lt;0,0,G29-G31)</f>
        <v>0</v>
      </c>
      <c r="H38" s="107">
        <f t="shared" ref="H38:L38" si="15">IF(H29-H31&lt;0,0,H29-H31)</f>
        <v>0</v>
      </c>
      <c r="I38" s="107">
        <f t="shared" si="15"/>
        <v>0</v>
      </c>
      <c r="J38" s="107">
        <f t="shared" si="15"/>
        <v>0</v>
      </c>
      <c r="K38" s="107">
        <f t="shared" si="15"/>
        <v>0</v>
      </c>
      <c r="L38" s="107">
        <f t="shared" si="15"/>
        <v>0</v>
      </c>
      <c r="M38" s="107"/>
      <c r="N38" s="107"/>
    </row>
    <row r="39" spans="1:22" ht="12.75" customHeight="1" x14ac:dyDescent="0.25">
      <c r="A39" s="107">
        <f>E39+F39+G39</f>
        <v>5.8028620962298305</v>
      </c>
      <c r="B39" s="168" t="s">
        <v>165</v>
      </c>
      <c r="C39" s="95" t="s">
        <v>166</v>
      </c>
      <c r="D39" s="96">
        <f t="shared" ref="D39:L39" si="16">(D38/1000)*D17</f>
        <v>0</v>
      </c>
      <c r="E39" s="96">
        <f t="shared" si="16"/>
        <v>5.8028620962298305</v>
      </c>
      <c r="F39" s="96">
        <f t="shared" si="16"/>
        <v>0</v>
      </c>
      <c r="G39" s="361">
        <f t="shared" si="16"/>
        <v>0</v>
      </c>
      <c r="H39" s="633">
        <f t="shared" si="16"/>
        <v>0</v>
      </c>
      <c r="I39" s="96">
        <f t="shared" si="16"/>
        <v>0</v>
      </c>
      <c r="J39" s="96">
        <f t="shared" si="16"/>
        <v>0</v>
      </c>
      <c r="K39" s="96">
        <f t="shared" si="16"/>
        <v>0</v>
      </c>
      <c r="L39" s="96">
        <f t="shared" si="16"/>
        <v>0</v>
      </c>
      <c r="M39" s="107">
        <f>SUM(D39:L39)</f>
        <v>5.8028620962298305</v>
      </c>
      <c r="N39" s="107"/>
    </row>
    <row r="40" spans="1:22" ht="12.75" customHeight="1" x14ac:dyDescent="0.25">
      <c r="B40" s="168" t="s">
        <v>167</v>
      </c>
      <c r="C40" s="95" t="s">
        <v>166</v>
      </c>
      <c r="D40" s="241">
        <f t="shared" ref="D40:K40" si="17">(D24*D38)/1000</f>
        <v>0</v>
      </c>
      <c r="E40" s="241">
        <f t="shared" si="17"/>
        <v>0</v>
      </c>
      <c r="F40" s="241">
        <f t="shared" si="17"/>
        <v>0</v>
      </c>
      <c r="G40" s="421">
        <f t="shared" si="17"/>
        <v>0</v>
      </c>
      <c r="H40" s="709">
        <f t="shared" si="17"/>
        <v>0</v>
      </c>
      <c r="I40" s="208">
        <f t="shared" si="17"/>
        <v>0</v>
      </c>
      <c r="J40" s="208">
        <f t="shared" si="17"/>
        <v>0</v>
      </c>
      <c r="K40" s="208">
        <f t="shared" si="17"/>
        <v>0</v>
      </c>
      <c r="L40" s="208">
        <f>(L24*L38)/1000</f>
        <v>0</v>
      </c>
      <c r="M40" s="107"/>
      <c r="N40" s="107"/>
    </row>
    <row r="41" spans="1:22" ht="12.75" customHeight="1" x14ac:dyDescent="0.25">
      <c r="B41" s="154" t="s">
        <v>605</v>
      </c>
      <c r="D41" s="107"/>
      <c r="E41" s="107"/>
      <c r="F41" s="107"/>
      <c r="G41" s="361"/>
      <c r="H41" s="633"/>
      <c r="I41" s="107"/>
      <c r="J41" s="107"/>
      <c r="K41" s="107"/>
      <c r="L41" s="107"/>
      <c r="M41" s="107"/>
      <c r="N41" s="107"/>
    </row>
    <row r="42" spans="1:22" ht="12.75" customHeight="1" x14ac:dyDescent="0.25">
      <c r="B42" s="263" t="s">
        <v>731</v>
      </c>
      <c r="C42" s="97" t="s">
        <v>169</v>
      </c>
      <c r="D42" s="107">
        <f t="shared" ref="D42:L42" si="18">(D36*D24)/1000000</f>
        <v>0</v>
      </c>
      <c r="E42" s="107">
        <f t="shared" si="18"/>
        <v>0</v>
      </c>
      <c r="F42" s="107">
        <f t="shared" si="18"/>
        <v>0</v>
      </c>
      <c r="G42" s="361">
        <f t="shared" si="18"/>
        <v>0</v>
      </c>
      <c r="H42" s="633">
        <f t="shared" si="18"/>
        <v>0</v>
      </c>
      <c r="I42" s="107">
        <f t="shared" si="18"/>
        <v>0</v>
      </c>
      <c r="J42" s="107">
        <f>(J36*J24)/1000000</f>
        <v>0</v>
      </c>
      <c r="K42" s="107">
        <f t="shared" si="18"/>
        <v>0</v>
      </c>
      <c r="L42" s="107">
        <f t="shared" si="18"/>
        <v>0</v>
      </c>
      <c r="M42" s="107"/>
      <c r="N42" s="107"/>
    </row>
    <row r="43" spans="1:22" ht="12.75" customHeight="1" x14ac:dyDescent="0.25">
      <c r="B43" s="439" t="s">
        <v>991</v>
      </c>
      <c r="C43" s="95" t="s">
        <v>169</v>
      </c>
      <c r="D43" s="96">
        <f>(D29*D24)/1000</f>
        <v>0.80338805761545795</v>
      </c>
      <c r="E43" s="96">
        <f t="shared" ref="E43:L43" si="19">(E29*E24)/1000</f>
        <v>0</v>
      </c>
      <c r="F43" s="96">
        <f t="shared" si="19"/>
        <v>0</v>
      </c>
      <c r="G43" s="96">
        <f t="shared" si="19"/>
        <v>0</v>
      </c>
      <c r="H43" s="633">
        <f t="shared" si="19"/>
        <v>0</v>
      </c>
      <c r="I43" s="96">
        <f t="shared" si="19"/>
        <v>0</v>
      </c>
      <c r="J43" s="96">
        <f t="shared" si="19"/>
        <v>0</v>
      </c>
      <c r="K43" s="96">
        <f t="shared" si="19"/>
        <v>0</v>
      </c>
      <c r="L43" s="96">
        <f t="shared" si="19"/>
        <v>0</v>
      </c>
      <c r="M43" s="107"/>
      <c r="N43" s="107"/>
    </row>
    <row r="44" spans="1:22" ht="12.75" customHeight="1" x14ac:dyDescent="0.25">
      <c r="B44" s="168" t="s">
        <v>892</v>
      </c>
      <c r="C44" s="95" t="s">
        <v>169</v>
      </c>
      <c r="D44" s="96">
        <f>(D17*D29)/1000</f>
        <v>0</v>
      </c>
      <c r="E44" s="96">
        <f t="shared" ref="E44:L44" si="20">(E17*E29)/1000</f>
        <v>14.27423350297328</v>
      </c>
      <c r="F44" s="96">
        <f t="shared" si="20"/>
        <v>28.790403167013906</v>
      </c>
      <c r="G44" s="96">
        <f t="shared" si="20"/>
        <v>71.836218450954931</v>
      </c>
      <c r="H44" s="633">
        <f t="shared" si="20"/>
        <v>117.50610001317432</v>
      </c>
      <c r="I44" s="96">
        <f t="shared" si="20"/>
        <v>124.29517505898434</v>
      </c>
      <c r="J44" s="96">
        <f t="shared" si="20"/>
        <v>131.33532675160805</v>
      </c>
      <c r="K44" s="96">
        <f t="shared" si="20"/>
        <v>137.11841355047943</v>
      </c>
      <c r="L44" s="96">
        <f t="shared" si="20"/>
        <v>146.39898602146516</v>
      </c>
      <c r="M44" s="107"/>
      <c r="N44" s="107"/>
    </row>
    <row r="45" spans="1:22" s="441" customFormat="1" ht="12.75" customHeight="1" x14ac:dyDescent="0.25">
      <c r="A45" s="438"/>
      <c r="B45" s="439" t="s">
        <v>894</v>
      </c>
      <c r="C45" s="304" t="s">
        <v>169</v>
      </c>
      <c r="D45" s="440">
        <f>D31*D17/1000</f>
        <v>0</v>
      </c>
      <c r="E45" s="440">
        <f t="shared" ref="E45:L45" si="21">E31*E17/1000</f>
        <v>8.4713714067434509</v>
      </c>
      <c r="F45" s="440">
        <f t="shared" si="21"/>
        <v>28.790403167013906</v>
      </c>
      <c r="G45" s="440">
        <f t="shared" si="21"/>
        <v>71.836218450954931</v>
      </c>
      <c r="H45" s="710">
        <f t="shared" si="21"/>
        <v>117.50610001317432</v>
      </c>
      <c r="I45" s="440">
        <f t="shared" si="21"/>
        <v>124.29517505898434</v>
      </c>
      <c r="J45" s="440">
        <f t="shared" si="21"/>
        <v>131.33532675160805</v>
      </c>
      <c r="K45" s="440">
        <f t="shared" si="21"/>
        <v>137.11841355047943</v>
      </c>
      <c r="L45" s="440">
        <f t="shared" si="21"/>
        <v>146.39898602146516</v>
      </c>
      <c r="M45" s="110"/>
      <c r="N45" s="110"/>
      <c r="T45" s="438"/>
      <c r="U45" s="438"/>
      <c r="V45" s="438"/>
    </row>
    <row r="46" spans="1:22" s="442" customFormat="1" ht="12.75" customHeight="1" outlineLevel="1" x14ac:dyDescent="0.25">
      <c r="B46" s="443" t="s">
        <v>990</v>
      </c>
      <c r="C46" s="444" t="s">
        <v>169</v>
      </c>
      <c r="D46" s="445">
        <f>(D39+D45)</f>
        <v>0</v>
      </c>
      <c r="E46" s="445">
        <f t="shared" ref="E46:L46" si="22">(E39+E45)</f>
        <v>14.274233502973281</v>
      </c>
      <c r="F46" s="445">
        <f t="shared" si="22"/>
        <v>28.790403167013906</v>
      </c>
      <c r="G46" s="445">
        <f t="shared" si="22"/>
        <v>71.836218450954931</v>
      </c>
      <c r="H46" s="711">
        <f t="shared" si="22"/>
        <v>117.50610001317432</v>
      </c>
      <c r="I46" s="445">
        <f t="shared" si="22"/>
        <v>124.29517505898434</v>
      </c>
      <c r="J46" s="445">
        <f t="shared" si="22"/>
        <v>131.33532675160805</v>
      </c>
      <c r="K46" s="445">
        <f t="shared" si="22"/>
        <v>137.11841355047943</v>
      </c>
      <c r="L46" s="445">
        <f t="shared" si="22"/>
        <v>146.39898602146516</v>
      </c>
      <c r="M46" s="445"/>
      <c r="N46" s="445"/>
      <c r="R46" s="442" t="s">
        <v>7</v>
      </c>
    </row>
    <row r="47" spans="1:22" ht="12.75" customHeight="1" outlineLevel="1" x14ac:dyDescent="0.25">
      <c r="A47" s="97" t="s">
        <v>221</v>
      </c>
      <c r="B47" s="172" t="s">
        <v>222</v>
      </c>
      <c r="C47" s="97" t="s">
        <v>169</v>
      </c>
      <c r="D47" s="124">
        <f>227.1/370.8</f>
        <v>0.61245954692556626</v>
      </c>
      <c r="E47" s="107"/>
      <c r="F47" s="107"/>
      <c r="G47" s="361"/>
      <c r="H47" s="633"/>
      <c r="I47" s="107"/>
      <c r="J47" s="107"/>
      <c r="K47" s="107"/>
      <c r="L47" s="107"/>
      <c r="M47" s="107"/>
      <c r="N47" s="107"/>
    </row>
    <row r="48" spans="1:22" ht="12.75" customHeight="1" outlineLevel="1" x14ac:dyDescent="0.25">
      <c r="B48" s="169" t="s">
        <v>223</v>
      </c>
      <c r="C48" s="97" t="s">
        <v>166</v>
      </c>
      <c r="D48" s="107">
        <f t="shared" ref="D48:L48" si="23">D3*$D$47</f>
        <v>0.61245954692556626</v>
      </c>
      <c r="E48" s="107">
        <f t="shared" si="23"/>
        <v>10.789683075291283</v>
      </c>
      <c r="F48" s="107">
        <f t="shared" si="23"/>
        <v>21.579366150582565</v>
      </c>
      <c r="G48" s="361">
        <f t="shared" si="23"/>
        <v>53.394941527395105</v>
      </c>
      <c r="H48" s="633">
        <f t="shared" si="23"/>
        <v>85.210516904207665</v>
      </c>
      <c r="I48" s="107">
        <f t="shared" si="23"/>
        <v>87.294814861068872</v>
      </c>
      <c r="J48" s="107">
        <f t="shared" si="23"/>
        <v>89.379112817930064</v>
      </c>
      <c r="K48" s="107">
        <f t="shared" si="23"/>
        <v>90.421261796360668</v>
      </c>
      <c r="L48" s="125">
        <f t="shared" si="23"/>
        <v>93.547708731652449</v>
      </c>
      <c r="M48" s="125"/>
      <c r="N48" s="125"/>
      <c r="O48" s="97">
        <v>1000</v>
      </c>
    </row>
    <row r="49" spans="1:22" ht="12.75" customHeight="1" outlineLevel="1" x14ac:dyDescent="0.25">
      <c r="B49" s="169" t="s">
        <v>175</v>
      </c>
      <c r="C49" s="97" t="s">
        <v>166</v>
      </c>
      <c r="D49" s="107">
        <f t="shared" ref="D49:L49" si="24">D48-D39</f>
        <v>0.61245954692556626</v>
      </c>
      <c r="E49" s="107">
        <f t="shared" si="24"/>
        <v>4.9868209790614522</v>
      </c>
      <c r="F49" s="107">
        <f t="shared" si="24"/>
        <v>21.579366150582565</v>
      </c>
      <c r="G49" s="361">
        <f t="shared" si="24"/>
        <v>53.394941527395105</v>
      </c>
      <c r="H49" s="633">
        <f t="shared" si="24"/>
        <v>85.210516904207665</v>
      </c>
      <c r="I49" s="107">
        <f t="shared" si="24"/>
        <v>87.294814861068872</v>
      </c>
      <c r="J49" s="107">
        <f t="shared" si="24"/>
        <v>89.379112817930064</v>
      </c>
      <c r="K49" s="107">
        <f t="shared" si="24"/>
        <v>90.421261796360668</v>
      </c>
      <c r="L49" s="107">
        <f t="shared" si="24"/>
        <v>93.547708731652449</v>
      </c>
      <c r="M49" s="107"/>
      <c r="N49" s="107"/>
    </row>
    <row r="50" spans="1:22" ht="12.75" customHeight="1" outlineLevel="1" x14ac:dyDescent="0.25">
      <c r="B50" s="169" t="s">
        <v>800</v>
      </c>
      <c r="C50" s="97" t="s">
        <v>166</v>
      </c>
      <c r="D50" s="107">
        <f t="shared" ref="D50:L50" si="25">(D48-D39)-D40</f>
        <v>0.61245954692556626</v>
      </c>
      <c r="E50" s="107">
        <f t="shared" si="25"/>
        <v>4.9868209790614522</v>
      </c>
      <c r="F50" s="107">
        <f t="shared" si="25"/>
        <v>21.579366150582565</v>
      </c>
      <c r="G50" s="361">
        <f t="shared" si="25"/>
        <v>53.394941527395105</v>
      </c>
      <c r="H50" s="633">
        <f t="shared" si="25"/>
        <v>85.210516904207665</v>
      </c>
      <c r="I50" s="107">
        <f t="shared" si="25"/>
        <v>87.294814861068872</v>
      </c>
      <c r="J50" s="107">
        <f t="shared" si="25"/>
        <v>89.379112817930064</v>
      </c>
      <c r="K50" s="107">
        <f t="shared" si="25"/>
        <v>90.421261796360668</v>
      </c>
      <c r="L50" s="107">
        <f t="shared" si="25"/>
        <v>93.547708731652449</v>
      </c>
      <c r="M50" s="107"/>
      <c r="N50" s="107"/>
    </row>
    <row r="51" spans="1:22" ht="12.75" customHeight="1" x14ac:dyDescent="0.25">
      <c r="B51" s="174" t="s">
        <v>612</v>
      </c>
      <c r="D51" s="107"/>
      <c r="E51" s="107"/>
      <c r="F51" s="107"/>
      <c r="G51" s="361"/>
      <c r="H51" s="633"/>
      <c r="I51" s="107"/>
      <c r="J51" s="107"/>
      <c r="K51" s="107"/>
      <c r="L51" s="107"/>
      <c r="M51" s="107"/>
      <c r="N51" s="107"/>
    </row>
    <row r="52" spans="1:22" ht="12.75" customHeight="1" x14ac:dyDescent="0.25">
      <c r="B52" s="169" t="s">
        <v>225</v>
      </c>
      <c r="C52" s="127">
        <f>abitabelid!I17</f>
        <v>0.35348212628212627</v>
      </c>
    </row>
    <row r="53" spans="1:22" ht="12.75" customHeight="1" x14ac:dyDescent="0.25">
      <c r="B53" s="169" t="s">
        <v>177</v>
      </c>
      <c r="C53" s="97" t="s">
        <v>178</v>
      </c>
      <c r="D53" s="128">
        <f t="shared" ref="D53:L53" si="26">($C$52*D10)/1000</f>
        <v>3.5348212628212626E-3</v>
      </c>
      <c r="E53" s="128">
        <f t="shared" si="26"/>
        <v>6.2272849439764785E-2</v>
      </c>
      <c r="F53" s="128">
        <f t="shared" si="26"/>
        <v>0.12454569887952957</v>
      </c>
      <c r="G53" s="422">
        <f t="shared" si="26"/>
        <v>0.30816986294945042</v>
      </c>
      <c r="H53" s="712">
        <f t="shared" si="26"/>
        <v>0.49179402701937142</v>
      </c>
      <c r="I53" s="128">
        <f t="shared" si="26"/>
        <v>0.50382359007043653</v>
      </c>
      <c r="J53" s="128">
        <f t="shared" si="26"/>
        <v>0.5158531531215016</v>
      </c>
      <c r="K53" s="128">
        <f t="shared" si="26"/>
        <v>0.52186793464703429</v>
      </c>
      <c r="L53" s="128">
        <f t="shared" si="26"/>
        <v>0.53991227922363194</v>
      </c>
      <c r="M53" s="128"/>
      <c r="N53" s="128"/>
    </row>
    <row r="54" spans="1:22" ht="12.75" customHeight="1" x14ac:dyDescent="0.25">
      <c r="B54" s="170" t="s">
        <v>714</v>
      </c>
      <c r="C54" s="95" t="s">
        <v>179</v>
      </c>
      <c r="D54" s="161">
        <f t="shared" ref="D54:L54" si="27">($C$52*D11)/1000</f>
        <v>1.2725356546156546E-2</v>
      </c>
      <c r="E54" s="161">
        <f t="shared" si="27"/>
        <v>0.22418225798315322</v>
      </c>
      <c r="F54" s="161">
        <f t="shared" si="27"/>
        <v>0.44836451596630644</v>
      </c>
      <c r="G54" s="422">
        <f t="shared" si="27"/>
        <v>1.1094115066180215</v>
      </c>
      <c r="H54" s="712">
        <f t="shared" si="27"/>
        <v>1.770458497269737</v>
      </c>
      <c r="I54" s="161">
        <f t="shared" si="27"/>
        <v>1.8137649242535721</v>
      </c>
      <c r="J54" s="161">
        <f t="shared" si="27"/>
        <v>1.857071351237406</v>
      </c>
      <c r="K54" s="161">
        <f t="shared" si="27"/>
        <v>1.8787245647293234</v>
      </c>
      <c r="L54" s="161">
        <f t="shared" si="27"/>
        <v>1.9436842052050749</v>
      </c>
      <c r="M54" s="128"/>
      <c r="N54" s="128"/>
    </row>
    <row r="55" spans="1:22" ht="12.75" customHeight="1" x14ac:dyDescent="0.25">
      <c r="A55" s="107">
        <f>(A58+A59)+A60</f>
        <v>0.47000000000000003</v>
      </c>
      <c r="B55" s="107" t="s">
        <v>226</v>
      </c>
      <c r="C55" s="107" t="s">
        <v>169</v>
      </c>
      <c r="D55" s="107">
        <f t="shared" ref="D55:L55" si="28">D46</f>
        <v>0</v>
      </c>
      <c r="E55" s="107">
        <f t="shared" si="28"/>
        <v>14.274233502973281</v>
      </c>
      <c r="F55" s="107">
        <f t="shared" si="28"/>
        <v>28.790403167013906</v>
      </c>
      <c r="G55" s="361">
        <f t="shared" si="28"/>
        <v>71.836218450954931</v>
      </c>
      <c r="H55" s="633">
        <f t="shared" si="28"/>
        <v>117.50610001317432</v>
      </c>
      <c r="I55" s="107">
        <f t="shared" si="28"/>
        <v>124.29517505898434</v>
      </c>
      <c r="J55" s="107">
        <f t="shared" si="28"/>
        <v>131.33532675160805</v>
      </c>
      <c r="K55" s="107">
        <f t="shared" si="28"/>
        <v>137.11841355047943</v>
      </c>
      <c r="L55" s="107">
        <f t="shared" si="28"/>
        <v>146.39898602146516</v>
      </c>
      <c r="M55" s="107"/>
      <c r="N55" s="107"/>
    </row>
    <row r="56" spans="1:22" ht="12.75" customHeight="1" x14ac:dyDescent="0.25">
      <c r="A56" s="107"/>
      <c r="B56" s="160" t="s">
        <v>608</v>
      </c>
      <c r="C56" s="107"/>
      <c r="D56" s="107"/>
      <c r="E56" s="107"/>
      <c r="F56" s="107"/>
      <c r="G56" s="361"/>
      <c r="H56" s="633"/>
      <c r="I56" s="107"/>
      <c r="J56" s="107"/>
      <c r="K56" s="107"/>
      <c r="L56" s="107"/>
      <c r="M56" s="107"/>
      <c r="N56" s="107"/>
    </row>
    <row r="57" spans="1:22" ht="12.75" customHeight="1" x14ac:dyDescent="0.25">
      <c r="A57" s="937">
        <f>SUM(A58:A62)</f>
        <v>0.7</v>
      </c>
      <c r="B57" s="167" t="s">
        <v>180</v>
      </c>
      <c r="C57" s="119" t="s">
        <v>181</v>
      </c>
      <c r="D57" s="119">
        <f t="shared" ref="D57:L57" si="29">SUM(D58:D62)</f>
        <v>0.7</v>
      </c>
      <c r="E57" s="429">
        <f t="shared" si="29"/>
        <v>12.331880841138732</v>
      </c>
      <c r="F57" s="429">
        <f t="shared" si="29"/>
        <v>24.663761682277464</v>
      </c>
      <c r="G57" s="430">
        <f t="shared" si="29"/>
        <v>61.026820884415123</v>
      </c>
      <c r="H57" s="713">
        <f t="shared" si="29"/>
        <v>97.389880086552822</v>
      </c>
      <c r="I57" s="429">
        <f t="shared" si="29"/>
        <v>99.772092229586264</v>
      </c>
      <c r="J57" s="429">
        <f t="shared" si="29"/>
        <v>102.15430437261969</v>
      </c>
      <c r="K57" s="429">
        <f t="shared" si="29"/>
        <v>103.34541044413641</v>
      </c>
      <c r="L57" s="429">
        <f t="shared" si="29"/>
        <v>106.91872865868655</v>
      </c>
      <c r="M57" s="119"/>
      <c r="N57" s="119"/>
      <c r="T57" s="119"/>
      <c r="U57" s="119"/>
      <c r="V57" s="119"/>
    </row>
    <row r="58" spans="1:22" ht="12.75" customHeight="1" x14ac:dyDescent="0.25">
      <c r="A58" s="274">
        <v>0.15</v>
      </c>
      <c r="B58" s="283" t="s">
        <v>736</v>
      </c>
      <c r="C58" s="95" t="s">
        <v>181</v>
      </c>
      <c r="D58" s="95">
        <f t="shared" ref="D58" si="30">$A$58*D3</f>
        <v>0.15</v>
      </c>
      <c r="E58" s="96">
        <f t="shared" ref="E58:L58" si="31">$A$58*E3</f>
        <v>2.6425458945297282</v>
      </c>
      <c r="F58" s="96">
        <f t="shared" si="31"/>
        <v>5.2850917890594564</v>
      </c>
      <c r="G58" s="361">
        <f t="shared" si="31"/>
        <v>13.077175903803241</v>
      </c>
      <c r="H58" s="633">
        <f t="shared" si="31"/>
        <v>20.869260018547031</v>
      </c>
      <c r="I58" s="96">
        <f t="shared" si="31"/>
        <v>21.379734049197054</v>
      </c>
      <c r="J58" s="96">
        <f t="shared" si="31"/>
        <v>21.890208079847074</v>
      </c>
      <c r="K58" s="96">
        <f t="shared" si="31"/>
        <v>22.145445095172089</v>
      </c>
      <c r="L58" s="96">
        <f t="shared" si="31"/>
        <v>22.911156141147117</v>
      </c>
      <c r="O58" s="119"/>
      <c r="P58" s="119"/>
      <c r="Q58" s="119"/>
      <c r="R58" s="119"/>
      <c r="S58" s="119"/>
    </row>
    <row r="59" spans="1:22" ht="12.75" customHeight="1" x14ac:dyDescent="0.25">
      <c r="A59" s="274">
        <v>0.14000000000000001</v>
      </c>
      <c r="B59" s="283" t="s">
        <v>590</v>
      </c>
      <c r="C59" s="95" t="s">
        <v>181</v>
      </c>
      <c r="D59" s="95">
        <f t="shared" ref="D59" si="32">$A$59*D3</f>
        <v>0.14000000000000001</v>
      </c>
      <c r="E59" s="96">
        <f t="shared" ref="E59:L59" si="33">$A$59*E3</f>
        <v>2.4663761682277463</v>
      </c>
      <c r="F59" s="96">
        <f t="shared" si="33"/>
        <v>4.9327523364554926</v>
      </c>
      <c r="G59" s="361">
        <f t="shared" si="33"/>
        <v>12.205364176883025</v>
      </c>
      <c r="H59" s="633">
        <f t="shared" si="33"/>
        <v>19.477976017310567</v>
      </c>
      <c r="I59" s="96">
        <f t="shared" si="33"/>
        <v>19.954418445917256</v>
      </c>
      <c r="J59" s="96">
        <f t="shared" si="33"/>
        <v>20.430860874523937</v>
      </c>
      <c r="K59" s="96">
        <f t="shared" si="33"/>
        <v>20.669082088827285</v>
      </c>
      <c r="L59" s="96">
        <f t="shared" si="33"/>
        <v>21.38374573173731</v>
      </c>
    </row>
    <row r="60" spans="1:22" ht="12.75" customHeight="1" x14ac:dyDescent="0.25">
      <c r="A60" s="274">
        <v>0.18</v>
      </c>
      <c r="B60" s="283" t="s">
        <v>737</v>
      </c>
      <c r="C60" s="95" t="s">
        <v>181</v>
      </c>
      <c r="D60" s="95">
        <f>$A$60*D3</f>
        <v>0.18</v>
      </c>
      <c r="E60" s="96">
        <f t="shared" ref="E60:L60" si="34">$A$60*E3</f>
        <v>3.1710550734356735</v>
      </c>
      <c r="F60" s="96">
        <f t="shared" si="34"/>
        <v>6.342110146871347</v>
      </c>
      <c r="G60" s="361">
        <f t="shared" si="34"/>
        <v>15.692611084563888</v>
      </c>
      <c r="H60" s="633">
        <f t="shared" si="34"/>
        <v>25.043112022256437</v>
      </c>
      <c r="I60" s="96">
        <f t="shared" si="34"/>
        <v>25.655680859036465</v>
      </c>
      <c r="J60" s="96">
        <f t="shared" si="34"/>
        <v>26.26824969581649</v>
      </c>
      <c r="K60" s="96">
        <f t="shared" si="34"/>
        <v>26.574534114206504</v>
      </c>
      <c r="L60" s="96">
        <f t="shared" si="34"/>
        <v>27.493387369376538</v>
      </c>
      <c r="O60" s="97" t="s">
        <v>173</v>
      </c>
    </row>
    <row r="61" spans="1:22" ht="12.75" customHeight="1" x14ac:dyDescent="0.25">
      <c r="A61" s="274">
        <v>0.16</v>
      </c>
      <c r="B61" s="283" t="s">
        <v>738</v>
      </c>
      <c r="C61" s="95"/>
      <c r="D61" s="95">
        <f>$A$61*D3</f>
        <v>0.16</v>
      </c>
      <c r="E61" s="96">
        <f t="shared" ref="E61:L61" si="35">$A$61*E3</f>
        <v>2.8187156208317101</v>
      </c>
      <c r="F61" s="96">
        <f t="shared" si="35"/>
        <v>5.6374312416634202</v>
      </c>
      <c r="G61" s="361">
        <f t="shared" si="35"/>
        <v>13.948987630723456</v>
      </c>
      <c r="H61" s="633">
        <f t="shared" si="35"/>
        <v>22.260544019783502</v>
      </c>
      <c r="I61" s="96">
        <f t="shared" si="35"/>
        <v>22.80504965247686</v>
      </c>
      <c r="J61" s="96">
        <f t="shared" si="35"/>
        <v>23.349555285170215</v>
      </c>
      <c r="K61" s="96">
        <f t="shared" si="35"/>
        <v>23.621808101516894</v>
      </c>
      <c r="L61" s="96">
        <f t="shared" si="35"/>
        <v>24.438566550556924</v>
      </c>
    </row>
    <row r="62" spans="1:22" ht="12.75" customHeight="1" x14ac:dyDescent="0.25">
      <c r="A62" s="97">
        <v>7.0000000000000007E-2</v>
      </c>
      <c r="B62" s="168" t="s">
        <v>185</v>
      </c>
      <c r="C62" s="95" t="s">
        <v>181</v>
      </c>
      <c r="D62" s="95">
        <f t="shared" ref="D62:L62" si="36">$A$62*D3</f>
        <v>7.0000000000000007E-2</v>
      </c>
      <c r="E62" s="96">
        <f t="shared" si="36"/>
        <v>1.2331880841138732</v>
      </c>
      <c r="F62" s="96">
        <f t="shared" si="36"/>
        <v>2.4663761682277463</v>
      </c>
      <c r="G62" s="361">
        <f t="shared" si="36"/>
        <v>6.1026820884415125</v>
      </c>
      <c r="H62" s="633">
        <f t="shared" si="36"/>
        <v>9.7389880086552836</v>
      </c>
      <c r="I62" s="96">
        <f t="shared" si="36"/>
        <v>9.9772092229586278</v>
      </c>
      <c r="J62" s="96">
        <f t="shared" si="36"/>
        <v>10.215430437261968</v>
      </c>
      <c r="K62" s="96">
        <f t="shared" si="36"/>
        <v>10.334541044413642</v>
      </c>
      <c r="L62" s="96">
        <f t="shared" si="36"/>
        <v>10.691872865868655</v>
      </c>
      <c r="O62" s="115" t="e">
        <f>124/L15</f>
        <v>#DIV/0!</v>
      </c>
      <c r="P62" s="97" t="e">
        <f>O62*L15</f>
        <v>#DIV/0!</v>
      </c>
      <c r="Q62" s="115">
        <f>SUM(D62:L62)</f>
        <v>60.830287919941306</v>
      </c>
    </row>
    <row r="63" spans="1:22" ht="12.75" customHeight="1" x14ac:dyDescent="0.25">
      <c r="A63" s="431"/>
      <c r="B63" s="306" t="s">
        <v>186</v>
      </c>
      <c r="C63" s="431" t="s">
        <v>181</v>
      </c>
      <c r="D63" s="432">
        <f t="shared" ref="D63:L63" si="37">((D30*D11)*1000)/1000000</f>
        <v>0.48086419753086418</v>
      </c>
      <c r="E63" s="432">
        <f t="shared" si="37"/>
        <v>8.4713714067434509</v>
      </c>
      <c r="F63" s="432">
        <f t="shared" si="37"/>
        <v>16.942742813486902</v>
      </c>
      <c r="G63" s="433">
        <f t="shared" si="37"/>
        <v>41.922304646348664</v>
      </c>
      <c r="H63" s="714">
        <f t="shared" si="37"/>
        <v>66.901866479210454</v>
      </c>
      <c r="I63" s="432">
        <f t="shared" si="37"/>
        <v>68.538324379936228</v>
      </c>
      <c r="J63" s="432">
        <f t="shared" si="37"/>
        <v>70.174782280662015</v>
      </c>
      <c r="K63" s="432">
        <f t="shared" si="37"/>
        <v>70.993011231024923</v>
      </c>
      <c r="L63" s="432">
        <f t="shared" si="37"/>
        <v>73.44769808211359</v>
      </c>
      <c r="M63" s="112"/>
      <c r="N63" s="112"/>
      <c r="Q63" s="115">
        <f>SUM(D63:L63)</f>
        <v>417.87296551705708</v>
      </c>
    </row>
    <row r="64" spans="1:22" ht="12.75" customHeight="1" x14ac:dyDescent="0.25">
      <c r="B64" s="169" t="s">
        <v>187</v>
      </c>
      <c r="C64" s="97" t="s">
        <v>181</v>
      </c>
      <c r="D64" s="112">
        <f t="shared" ref="D64:L64" si="38">((D29*1000)*D11)/1000000</f>
        <v>0.80338805761545795</v>
      </c>
      <c r="E64" s="112">
        <f t="shared" si="38"/>
        <v>14.274233502973283</v>
      </c>
      <c r="F64" s="112">
        <f t="shared" si="38"/>
        <v>28.790403167013903</v>
      </c>
      <c r="G64" s="360">
        <f t="shared" si="38"/>
        <v>71.836218450954917</v>
      </c>
      <c r="H64" s="630">
        <f t="shared" si="38"/>
        <v>117.50610001317435</v>
      </c>
      <c r="I64" s="112">
        <f t="shared" si="38"/>
        <v>124.29517505898437</v>
      </c>
      <c r="J64" s="112">
        <f t="shared" si="38"/>
        <v>131.33532675160805</v>
      </c>
      <c r="K64" s="112">
        <f t="shared" si="38"/>
        <v>137.11841355047943</v>
      </c>
      <c r="L64" s="112">
        <f t="shared" si="38"/>
        <v>146.39898602146519</v>
      </c>
      <c r="M64" s="112"/>
      <c r="N64" s="112"/>
      <c r="Q64" s="115">
        <f>SUM(D64:L64)</f>
        <v>772.35824457426884</v>
      </c>
    </row>
    <row r="65" spans="1:19" ht="12.75" customHeight="1" x14ac:dyDescent="0.25">
      <c r="A65" s="97" t="s">
        <v>227</v>
      </c>
      <c r="B65" s="130" t="s">
        <v>189</v>
      </c>
      <c r="C65" s="97" t="s">
        <v>7</v>
      </c>
      <c r="D65" s="143"/>
      <c r="E65" s="143"/>
      <c r="F65" s="143"/>
      <c r="G65" s="374"/>
      <c r="H65" s="715"/>
      <c r="I65" s="143"/>
      <c r="J65" s="143"/>
      <c r="K65" s="143"/>
      <c r="L65" s="143"/>
      <c r="M65" s="143"/>
      <c r="N65" s="143"/>
    </row>
    <row r="66" spans="1:19" ht="12.75" customHeight="1" x14ac:dyDescent="0.25">
      <c r="A66" s="112">
        <f>abitabelid!D33</f>
        <v>848392</v>
      </c>
      <c r="B66" s="95" t="s">
        <v>190</v>
      </c>
      <c r="C66" s="163" t="s">
        <v>181</v>
      </c>
      <c r="D66" s="164">
        <f t="shared" ref="D66:L66" si="39">($A$66*D4)/1000000</f>
        <v>0.84839200000000003</v>
      </c>
      <c r="E66" s="164">
        <f t="shared" si="39"/>
        <v>14.097706643679102</v>
      </c>
      <c r="F66" s="164">
        <f t="shared" si="39"/>
        <v>2.98921972873582</v>
      </c>
      <c r="G66" s="423">
        <f t="shared" si="39"/>
        <v>8.8143224350342795</v>
      </c>
      <c r="H66" s="716">
        <f t="shared" si="39"/>
        <v>8.8143224350342866</v>
      </c>
      <c r="I66" s="164">
        <f t="shared" si="39"/>
        <v>0.57744277841497937</v>
      </c>
      <c r="J66" s="164">
        <f t="shared" si="39"/>
        <v>0.5774427784149746</v>
      </c>
      <c r="K66" s="164">
        <f t="shared" si="39"/>
        <v>0.28872138920749213</v>
      </c>
      <c r="L66" s="164">
        <f t="shared" si="39"/>
        <v>0.86616416762246196</v>
      </c>
      <c r="M66" s="144"/>
      <c r="N66" s="144"/>
      <c r="O66" s="144">
        <f>SUM(D66:L66)</f>
        <v>37.873734356143402</v>
      </c>
    </row>
    <row r="67" spans="1:19" ht="12.75" customHeight="1" x14ac:dyDescent="0.25">
      <c r="A67" s="112">
        <f>abitabelid!D30</f>
        <v>2827440</v>
      </c>
      <c r="B67" s="95" t="s">
        <v>192</v>
      </c>
      <c r="C67" s="95" t="s">
        <v>181</v>
      </c>
      <c r="D67" s="164">
        <f t="shared" ref="D67:L67" si="40">($A$67*D4)/1000000</f>
        <v>2.8274400000000002</v>
      </c>
      <c r="E67" s="164">
        <f t="shared" si="40"/>
        <v>46.983493093527564</v>
      </c>
      <c r="F67" s="164">
        <f t="shared" si="40"/>
        <v>9.9621866187055126</v>
      </c>
      <c r="G67" s="423">
        <f t="shared" si="40"/>
        <v>29.375533745854888</v>
      </c>
      <c r="H67" s="716">
        <f t="shared" si="40"/>
        <v>29.375533745854913</v>
      </c>
      <c r="I67" s="164">
        <f t="shared" si="40"/>
        <v>1.9244462576281358</v>
      </c>
      <c r="J67" s="164">
        <f t="shared" si="40"/>
        <v>1.9244462576281198</v>
      </c>
      <c r="K67" s="164">
        <f t="shared" si="40"/>
        <v>0.96222312881407579</v>
      </c>
      <c r="L67" s="164">
        <f t="shared" si="40"/>
        <v>2.88666938644218</v>
      </c>
      <c r="M67" s="144"/>
      <c r="N67" s="144"/>
      <c r="O67" s="112">
        <f>SUM(D67:L67)</f>
        <v>126.22197223445539</v>
      </c>
    </row>
    <row r="68" spans="1:19" ht="16.05" customHeight="1" x14ac:dyDescent="0.25">
      <c r="A68" s="112">
        <f>abitabelid!D36</f>
        <v>500000</v>
      </c>
      <c r="B68" s="95" t="s">
        <v>193</v>
      </c>
      <c r="C68" s="95" t="s">
        <v>181</v>
      </c>
      <c r="D68" s="165">
        <f>($A$68*D4)/1000000</f>
        <v>0.5</v>
      </c>
      <c r="E68" s="165">
        <f t="shared" ref="E68:H68" si="41">($A$68*E4)/1000000</f>
        <v>8.3084863150990937</v>
      </c>
      <c r="F68" s="165">
        <f t="shared" si="41"/>
        <v>1.7616972630198187</v>
      </c>
      <c r="G68" s="360">
        <f t="shared" si="41"/>
        <v>5.1947227431625231</v>
      </c>
      <c r="H68" s="630">
        <f t="shared" si="41"/>
        <v>5.1947227431625276</v>
      </c>
      <c r="I68" s="165">
        <v>0</v>
      </c>
      <c r="J68" s="165">
        <v>0</v>
      </c>
      <c r="K68" s="165">
        <v>0</v>
      </c>
      <c r="L68" s="164">
        <v>0</v>
      </c>
      <c r="M68" s="144">
        <f>SUM(D68:L68)</f>
        <v>20.959629064443966</v>
      </c>
      <c r="N68" s="144"/>
      <c r="O68" s="112">
        <f>SUM(D68:L68)</f>
        <v>20.959629064443966</v>
      </c>
    </row>
    <row r="69" spans="1:19" ht="12.75" customHeight="1" x14ac:dyDescent="0.25">
      <c r="A69" s="115">
        <f>abitabelid!D48</f>
        <v>369940.17094017094</v>
      </c>
      <c r="B69" s="95" t="s">
        <v>194</v>
      </c>
      <c r="C69" s="95" t="s">
        <v>181</v>
      </c>
      <c r="D69" s="165">
        <f t="shared" ref="D69:L69" si="42">($A$69*D4)/1000000</f>
        <v>0.36994017094017095</v>
      </c>
      <c r="E69" s="165">
        <f t="shared" si="42"/>
        <v>6.1472856953236592</v>
      </c>
      <c r="F69" s="165">
        <f t="shared" si="42"/>
        <v>1.3034451732527661</v>
      </c>
      <c r="G69" s="360">
        <f t="shared" si="42"/>
        <v>3.8434732391846747</v>
      </c>
      <c r="H69" s="630">
        <f t="shared" si="42"/>
        <v>3.8434732391846782</v>
      </c>
      <c r="I69" s="165">
        <f t="shared" si="42"/>
        <v>0.25179313354558353</v>
      </c>
      <c r="J69" s="165">
        <f t="shared" si="42"/>
        <v>0.25179313354558147</v>
      </c>
      <c r="K69" s="165">
        <f t="shared" si="42"/>
        <v>0.12589656677279282</v>
      </c>
      <c r="L69" s="164">
        <f t="shared" si="42"/>
        <v>0.37768970031837223</v>
      </c>
      <c r="M69" s="144">
        <f>SUM(D69:L69)</f>
        <v>16.514790052068275</v>
      </c>
      <c r="N69" s="144"/>
      <c r="O69" s="112">
        <f>SUM(D69:M69)</f>
        <v>33.029580104136549</v>
      </c>
    </row>
    <row r="70" spans="1:19" ht="12.75" customHeight="1" x14ac:dyDescent="0.25">
      <c r="A70" s="227">
        <v>0.25</v>
      </c>
      <c r="B70" s="454" t="s">
        <v>992</v>
      </c>
      <c r="C70" s="508" t="s">
        <v>181</v>
      </c>
      <c r="D70" s="468">
        <f>D68*$A$70</f>
        <v>0.125</v>
      </c>
      <c r="E70" s="468">
        <f t="shared" ref="E70:G70" si="43">E68*$A$70</f>
        <v>2.0771215787747734</v>
      </c>
      <c r="F70" s="468">
        <f t="shared" si="43"/>
        <v>0.44042431575495467</v>
      </c>
      <c r="G70" s="468">
        <f t="shared" si="43"/>
        <v>1.2986806857906308</v>
      </c>
      <c r="H70" s="717">
        <f>H68*$A$70</f>
        <v>1.2986806857906319</v>
      </c>
      <c r="I70" s="107">
        <v>0</v>
      </c>
      <c r="J70" s="107">
        <v>0</v>
      </c>
      <c r="K70" s="107">
        <v>0</v>
      </c>
      <c r="L70" s="107">
        <v>0</v>
      </c>
      <c r="M70" s="144">
        <f>SUM(D70:L70)</f>
        <v>5.2399072661109916</v>
      </c>
      <c r="N70" s="143"/>
      <c r="O70" s="133">
        <f>SUM(O66:O69)</f>
        <v>218.08491575917932</v>
      </c>
      <c r="P70" s="119"/>
      <c r="Q70" s="119"/>
      <c r="R70" s="119"/>
      <c r="S70" s="119"/>
    </row>
    <row r="71" spans="1:19" ht="12.75" customHeight="1" x14ac:dyDescent="0.25">
      <c r="A71" s="509">
        <f>D70+E70+F70+G70+H70</f>
        <v>5.2399072661109916</v>
      </c>
      <c r="B71" s="510" t="s">
        <v>993</v>
      </c>
      <c r="C71" s="97" t="s">
        <v>7</v>
      </c>
      <c r="L71" s="143"/>
      <c r="M71" s="144">
        <f>D69+E69+F69</f>
        <v>7.8206710395165961</v>
      </c>
      <c r="N71" s="143"/>
    </row>
    <row r="72" spans="1:19" ht="12.75" customHeight="1" x14ac:dyDescent="0.25">
      <c r="A72" s="115">
        <f>D68+E68+F68+G68+H68</f>
        <v>20.959629064443966</v>
      </c>
      <c r="B72" s="97" t="s">
        <v>7</v>
      </c>
      <c r="C72" s="97" t="s">
        <v>7</v>
      </c>
      <c r="L72" s="143"/>
      <c r="M72" s="179">
        <f>(M70+M71)/2</f>
        <v>6.5302891528137934</v>
      </c>
      <c r="N72" s="143"/>
    </row>
    <row r="73" spans="1:19" ht="12.75" customHeight="1" x14ac:dyDescent="0.25">
      <c r="A73" s="115">
        <f>A72*A70</f>
        <v>5.2399072661109916</v>
      </c>
      <c r="B73" s="97" t="s">
        <v>7</v>
      </c>
      <c r="C73" s="97" t="s">
        <v>7</v>
      </c>
      <c r="L73" s="143"/>
      <c r="M73" s="143"/>
      <c r="N73" s="143"/>
    </row>
    <row r="74" spans="1:19" ht="12.75" customHeight="1" x14ac:dyDescent="0.25">
      <c r="B74" s="97" t="s">
        <v>7</v>
      </c>
      <c r="C74" s="97" t="s">
        <v>7</v>
      </c>
      <c r="L74" s="143"/>
      <c r="M74" s="143"/>
      <c r="N74" s="143"/>
    </row>
    <row r="75" spans="1:19" ht="12.75" customHeight="1" x14ac:dyDescent="0.25">
      <c r="B75" s="130" t="s">
        <v>195</v>
      </c>
      <c r="L75" s="143"/>
      <c r="M75" s="143"/>
      <c r="N75" s="143"/>
    </row>
    <row r="76" spans="1:19" ht="12.75" customHeight="1" x14ac:dyDescent="0.25">
      <c r="A76" s="97" t="s">
        <v>199</v>
      </c>
      <c r="B76" s="97" t="s">
        <v>200</v>
      </c>
      <c r="C76" s="97" t="s">
        <v>201</v>
      </c>
      <c r="D76" s="115">
        <f t="shared" ref="D76:L76" si="44">D3/$P$77</f>
        <v>0.27548209366391185</v>
      </c>
      <c r="E76" s="115">
        <f t="shared" si="44"/>
        <v>4.8531605041868291</v>
      </c>
      <c r="F76" s="115">
        <f t="shared" si="44"/>
        <v>9.7063210083736582</v>
      </c>
      <c r="G76" s="372">
        <f t="shared" si="44"/>
        <v>24.01685198127317</v>
      </c>
      <c r="H76" s="632">
        <f t="shared" si="44"/>
        <v>38.327382954172698</v>
      </c>
      <c r="I76" s="115">
        <f t="shared" si="44"/>
        <v>39.264892652336194</v>
      </c>
      <c r="J76" s="115">
        <f t="shared" si="44"/>
        <v>40.202402350499682</v>
      </c>
      <c r="K76" s="115">
        <f t="shared" si="44"/>
        <v>40.67115719958143</v>
      </c>
      <c r="L76" s="179">
        <f t="shared" si="44"/>
        <v>42.077421746826666</v>
      </c>
      <c r="M76" s="179"/>
      <c r="N76" s="179"/>
      <c r="P76" s="97" t="s">
        <v>228</v>
      </c>
    </row>
    <row r="77" spans="1:19" ht="12.75" customHeight="1" x14ac:dyDescent="0.25">
      <c r="A77" s="107">
        <f>abitabelid!F66</f>
        <v>1255.5000030718379</v>
      </c>
      <c r="B77" s="95" t="s">
        <v>202</v>
      </c>
      <c r="C77" s="95" t="s">
        <v>196</v>
      </c>
      <c r="D77" s="96">
        <f t="shared" ref="D77:L77" si="45">(D76*1000000)/$A$77</f>
        <v>219.42022540015014</v>
      </c>
      <c r="E77" s="96">
        <f t="shared" si="45"/>
        <v>3865.5201053863625</v>
      </c>
      <c r="F77" s="96">
        <f t="shared" si="45"/>
        <v>7731.040210772725</v>
      </c>
      <c r="G77" s="361">
        <f t="shared" si="45"/>
        <v>19129.312562732794</v>
      </c>
      <c r="H77" s="633">
        <f t="shared" si="45"/>
        <v>30527.584914692878</v>
      </c>
      <c r="I77" s="96">
        <f t="shared" si="45"/>
        <v>31274.307093800551</v>
      </c>
      <c r="J77" s="96">
        <f t="shared" si="45"/>
        <v>32021.029272908221</v>
      </c>
      <c r="K77" s="96">
        <f t="shared" si="45"/>
        <v>32394.390362462058</v>
      </c>
      <c r="L77" s="180">
        <f t="shared" si="45"/>
        <v>33514.473631123561</v>
      </c>
      <c r="M77" s="145"/>
      <c r="N77" s="145"/>
      <c r="P77" s="115">
        <v>3.63</v>
      </c>
    </row>
    <row r="78" spans="1:19" ht="12.75" customHeight="1" x14ac:dyDescent="0.25">
      <c r="B78" s="97" t="s">
        <v>203</v>
      </c>
      <c r="C78" s="97" t="s">
        <v>196</v>
      </c>
      <c r="D78" s="107">
        <f t="shared" ref="D78:L78" si="46">((D3/$P$78)*1000000)/$A$77</f>
        <v>259.44476162949348</v>
      </c>
      <c r="E78" s="107">
        <f t="shared" si="46"/>
        <v>4570.6312646750794</v>
      </c>
      <c r="F78" s="107">
        <f t="shared" si="46"/>
        <v>9141.2625293501587</v>
      </c>
      <c r="G78" s="361">
        <f t="shared" si="46"/>
        <v>22618.698567661253</v>
      </c>
      <c r="H78" s="633">
        <f t="shared" si="46"/>
        <v>36096.134605972358</v>
      </c>
      <c r="I78" s="107">
        <f t="shared" si="46"/>
        <v>36979.066693972636</v>
      </c>
      <c r="J78" s="107">
        <f t="shared" si="46"/>
        <v>37861.998781972907</v>
      </c>
      <c r="K78" s="107">
        <f t="shared" si="46"/>
        <v>38303.46482597306</v>
      </c>
      <c r="L78" s="145">
        <f t="shared" si="46"/>
        <v>39627.862957973462</v>
      </c>
      <c r="M78" s="145"/>
      <c r="N78" s="145"/>
      <c r="O78" s="143" t="s">
        <v>7</v>
      </c>
      <c r="P78" s="115">
        <v>3.07</v>
      </c>
    </row>
    <row r="79" spans="1:19" ht="12.75" customHeight="1" x14ac:dyDescent="0.25">
      <c r="A79" s="97">
        <f>abitabelid!L69</f>
        <v>578.33999999999992</v>
      </c>
      <c r="B79" s="95" t="s">
        <v>204</v>
      </c>
      <c r="C79" s="95" t="s">
        <v>196</v>
      </c>
      <c r="D79" s="96">
        <f t="shared" ref="D79:L79" si="47">((D3/$P$79)*1000000)/$A$79</f>
        <v>67.410787384286863</v>
      </c>
      <c r="E79" s="96">
        <f t="shared" si="47"/>
        <v>1187.5739963290912</v>
      </c>
      <c r="F79" s="96">
        <f t="shared" si="47"/>
        <v>2375.1479926581824</v>
      </c>
      <c r="G79" s="361">
        <f t="shared" si="47"/>
        <v>5876.9514962546655</v>
      </c>
      <c r="H79" s="633">
        <f t="shared" si="47"/>
        <v>9378.7549998511513</v>
      </c>
      <c r="I79" s="96">
        <f t="shared" si="47"/>
        <v>9608.1647088201426</v>
      </c>
      <c r="J79" s="96">
        <f t="shared" si="47"/>
        <v>9837.5744177891302</v>
      </c>
      <c r="K79" s="96">
        <f t="shared" si="47"/>
        <v>9952.2792722736267</v>
      </c>
      <c r="L79" s="180">
        <f t="shared" si="47"/>
        <v>10296.393835727111</v>
      </c>
      <c r="M79" s="145"/>
      <c r="N79" s="145"/>
      <c r="O79" s="112" t="s">
        <v>7</v>
      </c>
      <c r="P79" s="115">
        <v>25.65</v>
      </c>
    </row>
    <row r="80" spans="1:19" ht="12.75" customHeight="1" x14ac:dyDescent="0.25">
      <c r="B80" s="97" t="s">
        <v>205</v>
      </c>
      <c r="C80" s="97" t="s">
        <v>196</v>
      </c>
      <c r="D80" s="107">
        <f t="shared" ref="D80:L80" si="48">((D3/$P$80)*1000000)/$A$77</f>
        <v>145.34587923404104</v>
      </c>
      <c r="E80" s="107">
        <f t="shared" si="48"/>
        <v>2560.554376378192</v>
      </c>
      <c r="F80" s="107">
        <f t="shared" si="48"/>
        <v>5121.1087527563841</v>
      </c>
      <c r="G80" s="361">
        <f t="shared" si="48"/>
        <v>12671.424197576649</v>
      </c>
      <c r="H80" s="633">
        <f t="shared" si="48"/>
        <v>20221.739642396922</v>
      </c>
      <c r="I80" s="107">
        <f t="shared" si="48"/>
        <v>20716.374954470069</v>
      </c>
      <c r="J80" s="107">
        <f t="shared" si="48"/>
        <v>21211.010266543217</v>
      </c>
      <c r="K80" s="107">
        <f t="shared" si="48"/>
        <v>21458.327922579792</v>
      </c>
      <c r="L80" s="107">
        <f t="shared" si="48"/>
        <v>22200.280890689512</v>
      </c>
      <c r="M80" s="107"/>
      <c r="N80" s="107"/>
      <c r="O80" s="112" t="s">
        <v>7</v>
      </c>
      <c r="P80" s="115">
        <v>5.48</v>
      </c>
    </row>
    <row r="81" spans="1:17" ht="12.75" customHeight="1" x14ac:dyDescent="0.25">
      <c r="A81" s="138">
        <f>A82+A83</f>
        <v>5.2611942384542087E-2</v>
      </c>
      <c r="P81" s="97" t="s">
        <v>7</v>
      </c>
    </row>
    <row r="82" spans="1:17" s="252" customFormat="1" ht="12.75" customHeight="1" x14ac:dyDescent="0.25">
      <c r="A82" s="446">
        <f>abitabelid!C158</f>
        <v>1.9038130387644455E-2</v>
      </c>
      <c r="B82" s="387" t="s">
        <v>895</v>
      </c>
      <c r="C82" s="387" t="s">
        <v>166</v>
      </c>
      <c r="D82" s="447">
        <f>($A$82*D3)+D83</f>
        <v>5.2611942384542087E-2</v>
      </c>
      <c r="E82" s="447">
        <f t="shared" ref="E82:L82" si="49">($A$82*E3)+E83</f>
        <v>0.92686314901004208</v>
      </c>
      <c r="F82" s="447">
        <f t="shared" si="49"/>
        <v>1.8537262980200842</v>
      </c>
      <c r="G82" s="447">
        <f t="shared" si="49"/>
        <v>4.5867708346894549</v>
      </c>
      <c r="H82" s="718">
        <f t="shared" si="49"/>
        <v>7.3198153713588283</v>
      </c>
      <c r="I82" s="447">
        <f t="shared" si="49"/>
        <v>7.4988622399545886</v>
      </c>
      <c r="J82" s="447">
        <f t="shared" si="49"/>
        <v>7.677909108550347</v>
      </c>
      <c r="K82" s="447">
        <f t="shared" si="49"/>
        <v>7.767432542848228</v>
      </c>
      <c r="L82" s="447">
        <f t="shared" si="49"/>
        <v>8.0360028457418657</v>
      </c>
      <c r="M82" s="448" t="s">
        <v>896</v>
      </c>
      <c r="N82" s="248"/>
    </row>
    <row r="83" spans="1:17" s="293" customFormat="1" ht="27" customHeight="1" x14ac:dyDescent="0.25">
      <c r="A83" s="289">
        <f>Biomet_max!A90</f>
        <v>3.3573811996897636E-2</v>
      </c>
      <c r="B83" s="290" t="s">
        <v>1206</v>
      </c>
      <c r="C83" s="95" t="s">
        <v>166</v>
      </c>
      <c r="D83" s="291">
        <f>$A$83*D3</f>
        <v>3.3573811996897636E-2</v>
      </c>
      <c r="E83" s="291">
        <f t="shared" ref="E83:L83" si="50">$A$83*E3</f>
        <v>0.59146892704076526</v>
      </c>
      <c r="F83" s="291">
        <f t="shared" si="50"/>
        <v>1.1829378540815305</v>
      </c>
      <c r="G83" s="291">
        <f t="shared" si="50"/>
        <v>2.9270043016309994</v>
      </c>
      <c r="H83" s="719">
        <f t="shared" si="50"/>
        <v>4.6710707491804699</v>
      </c>
      <c r="I83" s="291">
        <f t="shared" si="50"/>
        <v>4.7853278100760868</v>
      </c>
      <c r="J83" s="291">
        <f t="shared" si="50"/>
        <v>4.8995848709717018</v>
      </c>
      <c r="K83" s="291">
        <f t="shared" si="50"/>
        <v>4.9567134014195107</v>
      </c>
      <c r="L83" s="291">
        <f t="shared" si="50"/>
        <v>5.1280989927629337</v>
      </c>
      <c r="M83" s="292"/>
    </row>
    <row r="84" spans="1:17" ht="12.75" customHeight="1" x14ac:dyDescent="0.25">
      <c r="A84" s="115">
        <f>-abitabelid!B154</f>
        <v>-2851.1502916693971</v>
      </c>
      <c r="B84" s="97" t="s">
        <v>208</v>
      </c>
      <c r="C84" s="97" t="s">
        <v>209</v>
      </c>
      <c r="D84" s="112">
        <f t="shared" ref="D84:L84" si="51">$A$84*D3</f>
        <v>-2851.1502916693971</v>
      </c>
      <c r="E84" s="112">
        <f t="shared" si="51"/>
        <v>-50228.636652921348</v>
      </c>
      <c r="F84" s="112">
        <f t="shared" si="51"/>
        <v>-100457.2733058427</v>
      </c>
      <c r="G84" s="360">
        <f t="shared" si="51"/>
        <v>-248566.62594893746</v>
      </c>
      <c r="H84" s="630">
        <f t="shared" si="51"/>
        <v>-396675.97859203239</v>
      </c>
      <c r="I84" s="112">
        <f t="shared" si="51"/>
        <v>-406378.89980121551</v>
      </c>
      <c r="J84" s="112">
        <f t="shared" si="51"/>
        <v>-416081.82101039856</v>
      </c>
      <c r="K84" s="112">
        <f t="shared" si="51"/>
        <v>-420933.28161499015</v>
      </c>
      <c r="L84" s="112">
        <f t="shared" si="51"/>
        <v>-435487.66342876467</v>
      </c>
      <c r="M84" s="107"/>
      <c r="N84" s="107"/>
    </row>
    <row r="85" spans="1:17" ht="12.75" customHeight="1" outlineLevel="1" x14ac:dyDescent="0.25">
      <c r="A85" s="97">
        <f>abitabelid!F154</f>
        <v>1568.1326604181686</v>
      </c>
      <c r="B85" s="97" t="s">
        <v>7</v>
      </c>
      <c r="E85" s="107">
        <f t="shared" ref="E85:L85" si="52">$A$85*E3</f>
        <v>27625.750159106745</v>
      </c>
      <c r="F85" s="107">
        <f t="shared" si="52"/>
        <v>55251.50031821349</v>
      </c>
      <c r="G85" s="361">
        <f t="shared" si="52"/>
        <v>136711.64427191563</v>
      </c>
      <c r="H85" s="633">
        <f t="shared" si="52"/>
        <v>218171.78822561784</v>
      </c>
      <c r="I85" s="107">
        <f t="shared" si="52"/>
        <v>223508.39489066857</v>
      </c>
      <c r="J85" s="107">
        <f t="shared" si="52"/>
        <v>228845.00155571924</v>
      </c>
      <c r="K85" s="107">
        <f t="shared" si="52"/>
        <v>231513.3048882446</v>
      </c>
      <c r="L85" s="107">
        <f t="shared" si="52"/>
        <v>239518.21488582061</v>
      </c>
      <c r="M85" s="107"/>
      <c r="N85" s="107"/>
    </row>
    <row r="86" spans="1:17" ht="12.75" customHeight="1" outlineLevel="1" x14ac:dyDescent="0.25">
      <c r="A86" s="97" t="s">
        <v>211</v>
      </c>
    </row>
    <row r="87" spans="1:17" ht="12.75" customHeight="1" outlineLevel="1" x14ac:dyDescent="0.25">
      <c r="A87" s="97">
        <f>abitabelid!B177</f>
        <v>83.8</v>
      </c>
      <c r="B87" s="97" t="s">
        <v>212</v>
      </c>
      <c r="C87" s="97" t="s">
        <v>65</v>
      </c>
      <c r="D87" s="97">
        <f>'kütuste tarbimine EE'!C6+'kütuste tarbimine EE'!C7</f>
        <v>29658</v>
      </c>
      <c r="E87" s="97">
        <f>'kütuste tarbimine EE'!D6+'kütuste tarbimine EE'!D7</f>
        <v>30505.144790424099</v>
      </c>
      <c r="F87" s="97">
        <f>'kütuste tarbimine EE'!E6+'kütuste tarbimine EE'!E7</f>
        <v>26790.915284128507</v>
      </c>
      <c r="G87" s="198">
        <f>'kütuste tarbimine EE'!F6+'kütuste tarbimine EE'!F7</f>
        <v>22257.868043989209</v>
      </c>
      <c r="H87" s="606">
        <f>'kütuste tarbimine EE'!G6+'kütuste tarbimine EE'!G7</f>
        <v>17724.820803849914</v>
      </c>
      <c r="I87" s="97">
        <f>'kütuste tarbimine EE'!H6+'kütuste tarbimine EE'!H7</f>
        <v>14811.297539860303</v>
      </c>
      <c r="J87" s="97">
        <f>'kütuste tarbimine EE'!I6+'kütuste tarbimine EE'!I7</f>
        <v>11897.774275870692</v>
      </c>
      <c r="K87" s="97">
        <f>'kütuste tarbimine EE'!J6+'kütuste tarbimine EE'!J7</f>
        <v>10441.012643875889</v>
      </c>
      <c r="L87" s="97">
        <f>'kütuste tarbimine EE'!K6+'kütuste tarbimine EE'!K7</f>
        <v>6070.727747891473</v>
      </c>
    </row>
    <row r="88" spans="1:17" ht="12.75" customHeight="1" outlineLevel="1" x14ac:dyDescent="0.25">
      <c r="A88" s="97" t="s">
        <v>7</v>
      </c>
      <c r="B88" s="97" t="s">
        <v>213</v>
      </c>
      <c r="C88" s="97" t="s">
        <v>214</v>
      </c>
      <c r="D88" s="112">
        <f t="shared" ref="D88:L88" si="53">D87*$A$87</f>
        <v>2485340.4</v>
      </c>
      <c r="E88" s="112">
        <f t="shared" si="53"/>
        <v>2556331.1334375395</v>
      </c>
      <c r="F88" s="112">
        <f t="shared" si="53"/>
        <v>2245078.7008099686</v>
      </c>
      <c r="G88" s="360">
        <f t="shared" si="53"/>
        <v>1865209.3420862956</v>
      </c>
      <c r="H88" s="630">
        <f t="shared" si="53"/>
        <v>1485339.9833626228</v>
      </c>
      <c r="I88" s="112">
        <f t="shared" si="53"/>
        <v>1241186.7338402933</v>
      </c>
      <c r="J88" s="112">
        <f t="shared" si="53"/>
        <v>997033.48431796394</v>
      </c>
      <c r="K88" s="112">
        <f t="shared" si="53"/>
        <v>874956.85955679941</v>
      </c>
      <c r="L88" s="112">
        <f t="shared" si="53"/>
        <v>508726.98527330544</v>
      </c>
      <c r="M88" s="112"/>
      <c r="N88" s="112"/>
    </row>
    <row r="89" spans="1:17" ht="52.8" outlineLevel="1" x14ac:dyDescent="0.25">
      <c r="A89" s="139">
        <f>abitabelid!B178</f>
        <v>18</v>
      </c>
      <c r="B89" s="259" t="s">
        <v>725</v>
      </c>
      <c r="C89" s="259" t="s">
        <v>214</v>
      </c>
      <c r="D89" s="267">
        <f t="shared" ref="D89:L89" si="54">$A$89*D11</f>
        <v>648</v>
      </c>
      <c r="E89" s="267">
        <f t="shared" si="54"/>
        <v>11415.798264368426</v>
      </c>
      <c r="F89" s="267">
        <f t="shared" si="54"/>
        <v>22831.596528736853</v>
      </c>
      <c r="G89" s="424">
        <f t="shared" si="54"/>
        <v>56493.39990443</v>
      </c>
      <c r="H89" s="720">
        <f t="shared" si="54"/>
        <v>90155.203280123184</v>
      </c>
      <c r="I89" s="267">
        <f t="shared" si="54"/>
        <v>92360.451092531293</v>
      </c>
      <c r="J89" s="267">
        <f t="shared" si="54"/>
        <v>94565.69890493936</v>
      </c>
      <c r="K89" s="267">
        <f t="shared" si="54"/>
        <v>95668.322811143429</v>
      </c>
      <c r="L89" s="267">
        <f t="shared" si="54"/>
        <v>98976.19452975555</v>
      </c>
      <c r="M89" s="141"/>
      <c r="N89" s="141"/>
      <c r="O89" s="97" t="s">
        <v>7</v>
      </c>
      <c r="P89" s="97" t="s">
        <v>7</v>
      </c>
      <c r="Q89" s="97" t="s">
        <v>7</v>
      </c>
    </row>
    <row r="90" spans="1:17" ht="12.75" customHeight="1" x14ac:dyDescent="0.25">
      <c r="A90" s="97" t="s">
        <v>7</v>
      </c>
      <c r="D90" s="97" t="s">
        <v>7</v>
      </c>
      <c r="E90" s="97">
        <f>((E3*10)*3.6)*A89</f>
        <v>11415.798264368426</v>
      </c>
    </row>
    <row r="91" spans="1:17" ht="12.75" customHeight="1" x14ac:dyDescent="0.25">
      <c r="O91" s="107" t="s">
        <v>7</v>
      </c>
      <c r="P91" s="115" t="s">
        <v>7</v>
      </c>
      <c r="Q91" s="112" t="s">
        <v>7</v>
      </c>
    </row>
    <row r="92" spans="1:17" ht="12.75" customHeight="1" x14ac:dyDescent="0.3">
      <c r="B92" s="181"/>
      <c r="C92" s="90" t="s">
        <v>143</v>
      </c>
      <c r="D92" s="90"/>
      <c r="E92" s="90">
        <v>2015</v>
      </c>
      <c r="F92" s="90">
        <v>2020</v>
      </c>
      <c r="G92" s="376">
        <v>2025</v>
      </c>
      <c r="H92" s="721">
        <v>2030</v>
      </c>
      <c r="I92" s="90">
        <v>2035</v>
      </c>
      <c r="J92" s="90">
        <v>2040</v>
      </c>
      <c r="K92" s="90">
        <v>2045</v>
      </c>
      <c r="L92" s="90">
        <v>2050</v>
      </c>
      <c r="M92" s="98"/>
    </row>
    <row r="93" spans="1:17" ht="12.75" customHeight="1" x14ac:dyDescent="0.3">
      <c r="B93" s="182" t="s">
        <v>609</v>
      </c>
      <c r="C93" s="92" t="s">
        <v>65</v>
      </c>
      <c r="D93" s="166"/>
      <c r="E93" s="166">
        <f t="shared" ref="E93:L93" si="55">E54*1000</f>
        <v>224.18225798315322</v>
      </c>
      <c r="F93" s="166">
        <f t="shared" si="55"/>
        <v>448.36451596630644</v>
      </c>
      <c r="G93" s="377">
        <f t="shared" si="55"/>
        <v>1109.4115066180213</v>
      </c>
      <c r="H93" s="722">
        <f t="shared" si="55"/>
        <v>1770.4584972697371</v>
      </c>
      <c r="I93" s="166">
        <f t="shared" si="55"/>
        <v>1813.764924253572</v>
      </c>
      <c r="J93" s="166">
        <f t="shared" si="55"/>
        <v>1857.0713512374059</v>
      </c>
      <c r="K93" s="166">
        <f t="shared" si="55"/>
        <v>1878.7245647293234</v>
      </c>
      <c r="L93" s="166">
        <f t="shared" si="55"/>
        <v>1943.6842052050749</v>
      </c>
      <c r="M93" s="98"/>
      <c r="O93" s="115" t="s">
        <v>7</v>
      </c>
      <c r="P93" s="97" t="s">
        <v>7</v>
      </c>
    </row>
    <row r="94" spans="1:17" ht="12.75" customHeight="1" x14ac:dyDescent="0.3">
      <c r="B94" s="183" t="s">
        <v>610</v>
      </c>
      <c r="C94" s="92" t="s">
        <v>181</v>
      </c>
      <c r="D94" s="92"/>
      <c r="E94" s="92">
        <f t="shared" ref="E94:L94" si="56">SUM(E95:E100)</f>
        <v>15.201096651983324</v>
      </c>
      <c r="F94" s="92">
        <f t="shared" si="56"/>
        <v>30.644129465033991</v>
      </c>
      <c r="G94" s="239">
        <f t="shared" si="56"/>
        <v>76.422989285644391</v>
      </c>
      <c r="H94" s="723">
        <f t="shared" si="56"/>
        <v>124.82591538453315</v>
      </c>
      <c r="I94" s="92">
        <f t="shared" si="56"/>
        <v>131.79403729893892</v>
      </c>
      <c r="J94" s="92">
        <f t="shared" si="56"/>
        <v>139.0132358601584</v>
      </c>
      <c r="K94" s="92">
        <f t="shared" si="56"/>
        <v>144.88584609332767</v>
      </c>
      <c r="L94" s="92">
        <f t="shared" si="56"/>
        <v>154.43498886720704</v>
      </c>
      <c r="M94" s="98"/>
      <c r="O94" s="115" t="s">
        <v>7</v>
      </c>
      <c r="P94" s="97" t="s">
        <v>7</v>
      </c>
    </row>
    <row r="95" spans="1:17" ht="12.75" customHeight="1" x14ac:dyDescent="0.3">
      <c r="B95" s="184" t="s">
        <v>736</v>
      </c>
      <c r="C95" s="92" t="s">
        <v>181</v>
      </c>
      <c r="D95" s="92"/>
      <c r="E95" s="92">
        <f>E58</f>
        <v>2.6425458945297282</v>
      </c>
      <c r="F95" s="92">
        <f t="shared" ref="F95:L95" si="57">F58</f>
        <v>5.2850917890594564</v>
      </c>
      <c r="G95" s="239">
        <f t="shared" si="57"/>
        <v>13.077175903803241</v>
      </c>
      <c r="H95" s="723">
        <f t="shared" si="57"/>
        <v>20.869260018547031</v>
      </c>
      <c r="I95" s="92">
        <f t="shared" si="57"/>
        <v>21.379734049197054</v>
      </c>
      <c r="J95" s="92">
        <f t="shared" si="57"/>
        <v>21.890208079847074</v>
      </c>
      <c r="K95" s="92">
        <f t="shared" si="57"/>
        <v>22.145445095172089</v>
      </c>
      <c r="L95" s="92">
        <f t="shared" si="57"/>
        <v>22.911156141147117</v>
      </c>
      <c r="M95" s="98"/>
      <c r="P95" s="97" t="s">
        <v>7</v>
      </c>
    </row>
    <row r="96" spans="1:17" ht="12.75" customHeight="1" x14ac:dyDescent="0.3">
      <c r="B96" s="184" t="s">
        <v>590</v>
      </c>
      <c r="C96" s="92" t="s">
        <v>181</v>
      </c>
      <c r="D96" s="92"/>
      <c r="E96" s="92">
        <f>E59</f>
        <v>2.4663761682277463</v>
      </c>
      <c r="F96" s="92">
        <f t="shared" ref="F96:L99" si="58">F59</f>
        <v>4.9327523364554926</v>
      </c>
      <c r="G96" s="239">
        <f>G59</f>
        <v>12.205364176883025</v>
      </c>
      <c r="H96" s="723">
        <f t="shared" si="58"/>
        <v>19.477976017310567</v>
      </c>
      <c r="I96" s="92">
        <f t="shared" si="58"/>
        <v>19.954418445917256</v>
      </c>
      <c r="J96" s="92">
        <f t="shared" si="58"/>
        <v>20.430860874523937</v>
      </c>
      <c r="K96" s="92">
        <f t="shared" si="58"/>
        <v>20.669082088827285</v>
      </c>
      <c r="L96" s="92">
        <f t="shared" si="58"/>
        <v>21.38374573173731</v>
      </c>
      <c r="M96" s="98"/>
    </row>
    <row r="97" spans="2:13" ht="12.75" customHeight="1" x14ac:dyDescent="0.3">
      <c r="B97" s="184" t="s">
        <v>737</v>
      </c>
      <c r="C97" s="92" t="s">
        <v>181</v>
      </c>
      <c r="D97" s="92"/>
      <c r="E97" s="92">
        <f>E60</f>
        <v>3.1710550734356735</v>
      </c>
      <c r="F97" s="92">
        <f t="shared" si="58"/>
        <v>6.342110146871347</v>
      </c>
      <c r="G97" s="239">
        <f t="shared" si="58"/>
        <v>15.692611084563888</v>
      </c>
      <c r="H97" s="723">
        <f t="shared" si="58"/>
        <v>25.043112022256437</v>
      </c>
      <c r="I97" s="92">
        <f t="shared" si="58"/>
        <v>25.655680859036465</v>
      </c>
      <c r="J97" s="92">
        <f t="shared" si="58"/>
        <v>26.26824969581649</v>
      </c>
      <c r="K97" s="92">
        <f t="shared" si="58"/>
        <v>26.574534114206504</v>
      </c>
      <c r="L97" s="92">
        <f t="shared" si="58"/>
        <v>27.493387369376538</v>
      </c>
      <c r="M97" s="98"/>
    </row>
    <row r="98" spans="2:13" ht="12.75" customHeight="1" x14ac:dyDescent="0.3">
      <c r="B98" s="184" t="s">
        <v>738</v>
      </c>
      <c r="C98" s="92" t="s">
        <v>181</v>
      </c>
      <c r="D98" s="92"/>
      <c r="E98" s="92">
        <f>E61</f>
        <v>2.8187156208317101</v>
      </c>
      <c r="F98" s="92">
        <f t="shared" si="58"/>
        <v>5.6374312416634202</v>
      </c>
      <c r="G98" s="239">
        <f t="shared" si="58"/>
        <v>13.948987630723456</v>
      </c>
      <c r="H98" s="723">
        <f t="shared" si="58"/>
        <v>22.260544019783502</v>
      </c>
      <c r="I98" s="92">
        <f t="shared" si="58"/>
        <v>22.80504965247686</v>
      </c>
      <c r="J98" s="92">
        <f t="shared" si="58"/>
        <v>23.349555285170215</v>
      </c>
      <c r="K98" s="92">
        <f t="shared" si="58"/>
        <v>23.621808101516894</v>
      </c>
      <c r="L98" s="92">
        <f t="shared" si="58"/>
        <v>24.438566550556924</v>
      </c>
      <c r="M98" s="98"/>
    </row>
    <row r="99" spans="2:13" ht="12.75" customHeight="1" x14ac:dyDescent="0.3">
      <c r="B99" s="184" t="s">
        <v>628</v>
      </c>
      <c r="C99" s="92" t="s">
        <v>181</v>
      </c>
      <c r="D99" s="92"/>
      <c r="E99" s="92">
        <f>E62</f>
        <v>1.2331880841138732</v>
      </c>
      <c r="F99" s="92">
        <f t="shared" si="58"/>
        <v>2.4663761682277463</v>
      </c>
      <c r="G99" s="239">
        <f t="shared" si="58"/>
        <v>6.1026820884415125</v>
      </c>
      <c r="H99" s="723">
        <f t="shared" si="58"/>
        <v>9.7389880086552836</v>
      </c>
      <c r="I99" s="92">
        <f t="shared" si="58"/>
        <v>9.9772092229586278</v>
      </c>
      <c r="J99" s="92">
        <f t="shared" si="58"/>
        <v>10.215430437261968</v>
      </c>
      <c r="K99" s="92">
        <f t="shared" si="58"/>
        <v>10.334541044413642</v>
      </c>
      <c r="L99" s="92">
        <f t="shared" si="58"/>
        <v>10.691872865868655</v>
      </c>
      <c r="M99" s="98"/>
    </row>
    <row r="100" spans="2:13" ht="12.75" customHeight="1" x14ac:dyDescent="0.3">
      <c r="B100" s="184" t="s">
        <v>631</v>
      </c>
      <c r="C100" s="92" t="s">
        <v>181</v>
      </c>
      <c r="D100" s="92"/>
      <c r="E100" s="245">
        <f>(E101+E102+E39)-SUM(E95:E99)</f>
        <v>2.869215810844592</v>
      </c>
      <c r="F100" s="245">
        <f t="shared" ref="F100:L100" si="59">(F101+F102+F39)-SUM(F95:F99)</f>
        <v>5.9803677827565274</v>
      </c>
      <c r="G100" s="245">
        <f t="shared" si="59"/>
        <v>15.396168401229268</v>
      </c>
      <c r="H100" s="245">
        <f t="shared" si="59"/>
        <v>27.436035297980325</v>
      </c>
      <c r="I100" s="245">
        <f t="shared" si="59"/>
        <v>32.021945069352654</v>
      </c>
      <c r="J100" s="245">
        <f t="shared" si="59"/>
        <v>36.858931487538712</v>
      </c>
      <c r="K100" s="245">
        <f t="shared" si="59"/>
        <v>41.540435649191267</v>
      </c>
      <c r="L100" s="245">
        <f t="shared" si="59"/>
        <v>47.516260208520492</v>
      </c>
      <c r="M100" s="98"/>
    </row>
    <row r="101" spans="2:13" ht="12.75" customHeight="1" x14ac:dyDescent="0.3">
      <c r="B101" s="182" t="s">
        <v>733</v>
      </c>
      <c r="C101" s="92" t="s">
        <v>181</v>
      </c>
      <c r="D101" s="92"/>
      <c r="E101" s="92">
        <f t="shared" ref="E101:L101" si="60">E82</f>
        <v>0.92686314901004208</v>
      </c>
      <c r="F101" s="92">
        <f t="shared" si="60"/>
        <v>1.8537262980200842</v>
      </c>
      <c r="G101" s="239">
        <f t="shared" si="60"/>
        <v>4.5867708346894549</v>
      </c>
      <c r="H101" s="723">
        <f t="shared" si="60"/>
        <v>7.3198153713588283</v>
      </c>
      <c r="I101" s="92">
        <f t="shared" si="60"/>
        <v>7.4988622399545886</v>
      </c>
      <c r="J101" s="92">
        <f t="shared" si="60"/>
        <v>7.677909108550347</v>
      </c>
      <c r="K101" s="92">
        <f t="shared" si="60"/>
        <v>7.767432542848228</v>
      </c>
      <c r="L101" s="92">
        <f t="shared" si="60"/>
        <v>8.0360028457418657</v>
      </c>
      <c r="M101" s="98"/>
    </row>
    <row r="102" spans="2:13" ht="12.75" customHeight="1" x14ac:dyDescent="0.3">
      <c r="B102" s="183" t="s">
        <v>611</v>
      </c>
      <c r="C102" s="92" t="s">
        <v>181</v>
      </c>
      <c r="D102" s="92"/>
      <c r="E102" s="92">
        <f t="shared" ref="E102:L102" si="61">E45</f>
        <v>8.4713714067434509</v>
      </c>
      <c r="F102" s="92">
        <f t="shared" si="61"/>
        <v>28.790403167013906</v>
      </c>
      <c r="G102" s="239">
        <f t="shared" si="61"/>
        <v>71.836218450954931</v>
      </c>
      <c r="H102" s="723">
        <f t="shared" si="61"/>
        <v>117.50610001317432</v>
      </c>
      <c r="I102" s="92">
        <f t="shared" si="61"/>
        <v>124.29517505898434</v>
      </c>
      <c r="J102" s="92">
        <f t="shared" si="61"/>
        <v>131.33532675160805</v>
      </c>
      <c r="K102" s="92">
        <f t="shared" si="61"/>
        <v>137.11841355047943</v>
      </c>
      <c r="L102" s="92">
        <f t="shared" si="61"/>
        <v>146.39898602146516</v>
      </c>
      <c r="M102" s="98"/>
    </row>
    <row r="103" spans="2:13" ht="12.75" customHeight="1" x14ac:dyDescent="0.3">
      <c r="B103" s="183" t="s">
        <v>189</v>
      </c>
      <c r="C103" s="92" t="s">
        <v>181</v>
      </c>
      <c r="D103" s="92"/>
      <c r="E103" s="92">
        <f>SUM(E104:E107)</f>
        <v>75.536971747629423</v>
      </c>
      <c r="F103" s="92">
        <f t="shared" ref="F103:L103" si="62">SUM(F104:F107)</f>
        <v>16.016548783713919</v>
      </c>
      <c r="G103" s="239">
        <f t="shared" si="62"/>
        <v>47.228052163236363</v>
      </c>
      <c r="H103" s="723">
        <f t="shared" si="62"/>
        <v>47.228052163236406</v>
      </c>
      <c r="I103" s="92">
        <f t="shared" si="62"/>
        <v>2.753682169588699</v>
      </c>
      <c r="J103" s="92">
        <f t="shared" si="62"/>
        <v>2.753682169588676</v>
      </c>
      <c r="K103" s="92">
        <f t="shared" si="62"/>
        <v>1.3768410847943606</v>
      </c>
      <c r="L103" s="92">
        <f t="shared" si="62"/>
        <v>4.1305232543830144</v>
      </c>
      <c r="M103" s="98"/>
    </row>
    <row r="104" spans="2:13" ht="12.75" customHeight="1" x14ac:dyDescent="0.3">
      <c r="B104" s="184" t="s">
        <v>190</v>
      </c>
      <c r="C104" s="92" t="s">
        <v>181</v>
      </c>
      <c r="D104" s="92"/>
      <c r="E104" s="92">
        <f t="shared" ref="E104:L107" si="63">E66</f>
        <v>14.097706643679102</v>
      </c>
      <c r="F104" s="92">
        <f t="shared" si="63"/>
        <v>2.98921972873582</v>
      </c>
      <c r="G104" s="239">
        <f t="shared" si="63"/>
        <v>8.8143224350342795</v>
      </c>
      <c r="H104" s="723">
        <f t="shared" si="63"/>
        <v>8.8143224350342866</v>
      </c>
      <c r="I104" s="92">
        <f t="shared" si="63"/>
        <v>0.57744277841497937</v>
      </c>
      <c r="J104" s="92">
        <f t="shared" si="63"/>
        <v>0.5774427784149746</v>
      </c>
      <c r="K104" s="92">
        <f t="shared" si="63"/>
        <v>0.28872138920749213</v>
      </c>
      <c r="L104" s="92">
        <f t="shared" si="63"/>
        <v>0.86616416762246196</v>
      </c>
      <c r="M104" s="98"/>
    </row>
    <row r="105" spans="2:13" ht="12.75" customHeight="1" x14ac:dyDescent="0.3">
      <c r="B105" s="184" t="s">
        <v>192</v>
      </c>
      <c r="C105" s="92" t="s">
        <v>181</v>
      </c>
      <c r="D105" s="92"/>
      <c r="E105" s="92">
        <f t="shared" si="63"/>
        <v>46.983493093527564</v>
      </c>
      <c r="F105" s="92">
        <f t="shared" si="63"/>
        <v>9.9621866187055126</v>
      </c>
      <c r="G105" s="239">
        <f t="shared" si="63"/>
        <v>29.375533745854888</v>
      </c>
      <c r="H105" s="723">
        <f t="shared" si="63"/>
        <v>29.375533745854913</v>
      </c>
      <c r="I105" s="92">
        <f t="shared" si="63"/>
        <v>1.9244462576281358</v>
      </c>
      <c r="J105" s="92">
        <f t="shared" si="63"/>
        <v>1.9244462576281198</v>
      </c>
      <c r="K105" s="92">
        <f t="shared" si="63"/>
        <v>0.96222312881407579</v>
      </c>
      <c r="L105" s="92">
        <f t="shared" si="63"/>
        <v>2.88666938644218</v>
      </c>
      <c r="M105" s="98"/>
    </row>
    <row r="106" spans="2:13" ht="12.75" customHeight="1" x14ac:dyDescent="0.3">
      <c r="B106" s="184" t="s">
        <v>193</v>
      </c>
      <c r="C106" s="92" t="s">
        <v>181</v>
      </c>
      <c r="D106" s="92"/>
      <c r="E106" s="92">
        <f t="shared" si="63"/>
        <v>8.3084863150990937</v>
      </c>
      <c r="F106" s="92">
        <f t="shared" si="63"/>
        <v>1.7616972630198187</v>
      </c>
      <c r="G106" s="239">
        <f t="shared" si="63"/>
        <v>5.1947227431625231</v>
      </c>
      <c r="H106" s="723">
        <f t="shared" si="63"/>
        <v>5.1947227431625276</v>
      </c>
      <c r="I106" s="92">
        <f t="shared" si="63"/>
        <v>0</v>
      </c>
      <c r="J106" s="92">
        <f t="shared" si="63"/>
        <v>0</v>
      </c>
      <c r="K106" s="92">
        <f t="shared" si="63"/>
        <v>0</v>
      </c>
      <c r="L106" s="92">
        <f t="shared" si="63"/>
        <v>0</v>
      </c>
      <c r="M106" s="98"/>
    </row>
    <row r="107" spans="2:13" ht="12.75" customHeight="1" x14ac:dyDescent="0.3">
      <c r="B107" s="184" t="s">
        <v>194</v>
      </c>
      <c r="C107" s="92" t="s">
        <v>181</v>
      </c>
      <c r="D107" s="92"/>
      <c r="E107" s="92">
        <f t="shared" si="63"/>
        <v>6.1472856953236592</v>
      </c>
      <c r="F107" s="92">
        <f t="shared" si="63"/>
        <v>1.3034451732527661</v>
      </c>
      <c r="G107" s="239">
        <f t="shared" si="63"/>
        <v>3.8434732391846747</v>
      </c>
      <c r="H107" s="723">
        <f t="shared" si="63"/>
        <v>3.8434732391846782</v>
      </c>
      <c r="I107" s="92">
        <f t="shared" si="63"/>
        <v>0.25179313354558353</v>
      </c>
      <c r="J107" s="92">
        <f t="shared" si="63"/>
        <v>0.25179313354558147</v>
      </c>
      <c r="K107" s="92">
        <f t="shared" si="63"/>
        <v>0.12589656677279282</v>
      </c>
      <c r="L107" s="92">
        <f t="shared" si="63"/>
        <v>0.37768970031837223</v>
      </c>
      <c r="M107" s="98"/>
    </row>
    <row r="108" spans="2:13" ht="13.05" customHeight="1" x14ac:dyDescent="0.3">
      <c r="B108" s="449" t="s">
        <v>730</v>
      </c>
      <c r="C108" s="450" t="s">
        <v>181</v>
      </c>
      <c r="D108" s="450"/>
      <c r="E108" s="450">
        <f t="shared" ref="E108:L108" si="64">E43+E101</f>
        <v>0.92686314901004208</v>
      </c>
      <c r="F108" s="450">
        <f t="shared" si="64"/>
        <v>1.8537262980200842</v>
      </c>
      <c r="G108" s="451">
        <f t="shared" si="64"/>
        <v>4.5867708346894549</v>
      </c>
      <c r="H108" s="724">
        <f t="shared" si="64"/>
        <v>7.3198153713588283</v>
      </c>
      <c r="I108" s="450">
        <f t="shared" si="64"/>
        <v>7.4988622399545886</v>
      </c>
      <c r="J108" s="450">
        <f t="shared" si="64"/>
        <v>7.677909108550347</v>
      </c>
      <c r="K108" s="450">
        <f t="shared" si="64"/>
        <v>7.767432542848228</v>
      </c>
      <c r="L108" s="450">
        <f t="shared" si="64"/>
        <v>8.0360028457418657</v>
      </c>
      <c r="M108" s="252" t="s">
        <v>800</v>
      </c>
    </row>
    <row r="109" spans="2:13" ht="12.75" customHeight="1" x14ac:dyDescent="0.3">
      <c r="B109" s="183" t="s">
        <v>594</v>
      </c>
      <c r="C109" s="92" t="s">
        <v>181</v>
      </c>
      <c r="D109" s="92"/>
      <c r="E109" s="92">
        <f>E39+E70</f>
        <v>7.8799836750046044</v>
      </c>
      <c r="F109" s="92">
        <f t="shared" ref="F109:L109" si="65">F39+F70</f>
        <v>0.44042431575495467</v>
      </c>
      <c r="G109" s="92">
        <f t="shared" si="65"/>
        <v>1.2986806857906308</v>
      </c>
      <c r="H109" s="723">
        <f t="shared" si="65"/>
        <v>1.2986806857906319</v>
      </c>
      <c r="I109" s="92">
        <f t="shared" si="65"/>
        <v>0</v>
      </c>
      <c r="J109" s="92">
        <f t="shared" si="65"/>
        <v>0</v>
      </c>
      <c r="K109" s="92">
        <f t="shared" si="65"/>
        <v>0</v>
      </c>
      <c r="L109" s="92">
        <f t="shared" si="65"/>
        <v>0</v>
      </c>
      <c r="M109" s="395">
        <f>SUM(E109:L109)</f>
        <v>10.917769362340822</v>
      </c>
    </row>
    <row r="110" spans="2:13" ht="12.75" customHeight="1" x14ac:dyDescent="0.3">
      <c r="B110" s="183" t="s">
        <v>195</v>
      </c>
      <c r="C110" s="92"/>
      <c r="D110" s="92"/>
      <c r="E110" s="92"/>
      <c r="F110" s="92"/>
      <c r="G110" s="239"/>
      <c r="H110" s="723"/>
      <c r="I110" s="92"/>
      <c r="J110" s="92"/>
      <c r="K110" s="92"/>
      <c r="L110" s="92"/>
      <c r="M110" s="98"/>
    </row>
    <row r="111" spans="2:13" ht="12.75" customHeight="1" x14ac:dyDescent="0.3">
      <c r="B111" s="184" t="s">
        <v>595</v>
      </c>
      <c r="C111" s="92" t="s">
        <v>196</v>
      </c>
      <c r="D111" s="92"/>
      <c r="E111" s="166">
        <f t="shared" ref="E111:L111" si="66">E77+E79</f>
        <v>5053.0941017154537</v>
      </c>
      <c r="F111" s="166">
        <f t="shared" si="66"/>
        <v>10106.188203430907</v>
      </c>
      <c r="G111" s="377">
        <f t="shared" si="66"/>
        <v>25006.264058987457</v>
      </c>
      <c r="H111" s="722">
        <f t="shared" si="66"/>
        <v>39906.339914544027</v>
      </c>
      <c r="I111" s="166">
        <f t="shared" si="66"/>
        <v>40882.471802620697</v>
      </c>
      <c r="J111" s="166">
        <f t="shared" si="66"/>
        <v>41858.603690697353</v>
      </c>
      <c r="K111" s="166">
        <f t="shared" si="66"/>
        <v>42346.669634735685</v>
      </c>
      <c r="L111" s="166">
        <f t="shared" si="66"/>
        <v>43810.867466850672</v>
      </c>
      <c r="M111" s="98"/>
    </row>
    <row r="112" spans="2:13" ht="12.75" customHeight="1" x14ac:dyDescent="0.3">
      <c r="B112" s="184" t="s">
        <v>596</v>
      </c>
      <c r="C112" s="92" t="s">
        <v>65</v>
      </c>
      <c r="D112" s="92">
        <f>Biomet_max!D12</f>
        <v>36</v>
      </c>
      <c r="E112" s="92">
        <f>E11</f>
        <v>634.21101468713482</v>
      </c>
      <c r="F112" s="92">
        <f t="shared" ref="F112:L112" si="67">F11</f>
        <v>1268.4220293742696</v>
      </c>
      <c r="G112" s="92">
        <f t="shared" si="67"/>
        <v>3138.5222169127778</v>
      </c>
      <c r="H112" s="723">
        <f t="shared" si="67"/>
        <v>5008.6224044512883</v>
      </c>
      <c r="I112" s="92">
        <f t="shared" si="67"/>
        <v>5131.136171807294</v>
      </c>
      <c r="J112" s="92">
        <f t="shared" si="67"/>
        <v>5253.6499391632979</v>
      </c>
      <c r="K112" s="92">
        <f t="shared" si="67"/>
        <v>5314.9068228413016</v>
      </c>
      <c r="L112" s="92">
        <f t="shared" si="67"/>
        <v>5498.6774738753084</v>
      </c>
      <c r="M112" s="252" t="s">
        <v>1227</v>
      </c>
    </row>
    <row r="113" spans="2:13" ht="12.75" customHeight="1" x14ac:dyDescent="0.3">
      <c r="B113" s="244" t="s">
        <v>598</v>
      </c>
      <c r="C113" s="92" t="s">
        <v>718</v>
      </c>
      <c r="D113" s="92"/>
      <c r="E113" s="255">
        <f t="shared" ref="E113:L113" si="68">E89/1000</f>
        <v>11.415798264368426</v>
      </c>
      <c r="F113" s="255">
        <f t="shared" si="68"/>
        <v>22.831596528736853</v>
      </c>
      <c r="G113" s="378">
        <f t="shared" si="68"/>
        <v>56.493399904429999</v>
      </c>
      <c r="H113" s="725">
        <f t="shared" si="68"/>
        <v>90.155203280123189</v>
      </c>
      <c r="I113" s="255">
        <f t="shared" si="68"/>
        <v>92.360451092531292</v>
      </c>
      <c r="J113" s="255">
        <f t="shared" si="68"/>
        <v>94.565698904939353</v>
      </c>
      <c r="K113" s="255">
        <f t="shared" si="68"/>
        <v>95.668322811143426</v>
      </c>
      <c r="L113" s="255">
        <f t="shared" si="68"/>
        <v>98.976194529755546</v>
      </c>
      <c r="M113" s="98"/>
    </row>
  </sheetData>
  <mergeCells count="1">
    <mergeCell ref="A2:C2"/>
  </mergeCells>
  <pageMargins left="0.75" right="0.75" top="1" bottom="1" header="0.5" footer="0.5"/>
  <pageSetup paperSize="9"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topLeftCell="A77" zoomScale="125" zoomScaleNormal="125" zoomScalePageLayoutView="125" workbookViewId="0">
      <selection activeCell="E25" sqref="E25"/>
    </sheetView>
  </sheetViews>
  <sheetFormatPr defaultColWidth="17.109375" defaultRowHeight="12.75" customHeight="1" outlineLevelRow="1" x14ac:dyDescent="0.25"/>
  <cols>
    <col min="1" max="1" width="8.44140625" style="97" customWidth="1"/>
    <col min="2" max="2" width="54.6640625" style="97" customWidth="1"/>
    <col min="3" max="3" width="8.44140625" style="97" customWidth="1"/>
    <col min="4" max="4" width="7.77734375" style="97" customWidth="1"/>
    <col min="5" max="5" width="9.109375" style="97" customWidth="1"/>
    <col min="6" max="6" width="9.44140625" style="97" customWidth="1"/>
    <col min="7" max="7" width="10.109375" style="97" customWidth="1"/>
    <col min="8" max="8" width="10" style="97" customWidth="1"/>
    <col min="9" max="9" width="7.6640625" style="97" customWidth="1"/>
    <col min="10" max="10" width="9.109375" style="97" customWidth="1"/>
    <col min="11" max="11" width="9.6640625" style="97" customWidth="1"/>
    <col min="12" max="12" width="8.77734375" style="97" customWidth="1"/>
    <col min="13" max="13" width="28.33203125" style="97" customWidth="1"/>
    <col min="14" max="14" width="8.77734375" style="97" customWidth="1"/>
    <col min="15" max="16384" width="17.109375" style="97"/>
  </cols>
  <sheetData>
    <row r="1" spans="1:26" ht="12.75" customHeight="1" x14ac:dyDescent="0.25">
      <c r="B1" s="97" t="s">
        <v>994</v>
      </c>
      <c r="C1" s="336" t="s">
        <v>798</v>
      </c>
      <c r="D1" s="459">
        <v>1</v>
      </c>
      <c r="E1" s="460">
        <v>30</v>
      </c>
      <c r="F1" s="460">
        <v>155</v>
      </c>
      <c r="G1" s="461">
        <v>200</v>
      </c>
      <c r="H1" s="460">
        <v>263</v>
      </c>
      <c r="I1" s="460">
        <v>300</v>
      </c>
      <c r="J1" s="460">
        <v>324</v>
      </c>
      <c r="K1" s="460">
        <v>350</v>
      </c>
      <c r="L1" s="460">
        <v>370.8</v>
      </c>
    </row>
    <row r="2" spans="1:26" ht="15.6" x14ac:dyDescent="0.3">
      <c r="A2" s="962" t="s">
        <v>231</v>
      </c>
      <c r="B2" s="963"/>
      <c r="C2" s="963"/>
      <c r="D2" s="318">
        <f>D17/$F$9/$D$9</f>
        <v>0</v>
      </c>
      <c r="E2" s="318">
        <f t="shared" ref="E2:L2" si="0">E17/$F$9/$D$9</f>
        <v>0</v>
      </c>
      <c r="F2" s="318">
        <f t="shared" si="0"/>
        <v>0</v>
      </c>
      <c r="G2" s="318">
        <f t="shared" si="0"/>
        <v>0</v>
      </c>
      <c r="H2" s="318">
        <f t="shared" si="0"/>
        <v>0</v>
      </c>
      <c r="I2" s="318">
        <f t="shared" si="0"/>
        <v>0</v>
      </c>
      <c r="J2" s="318">
        <f t="shared" si="0"/>
        <v>0</v>
      </c>
      <c r="K2" s="318">
        <f t="shared" si="0"/>
        <v>0</v>
      </c>
      <c r="L2" s="318">
        <f t="shared" si="0"/>
        <v>0</v>
      </c>
    </row>
    <row r="3" spans="1:26" ht="12.75" customHeight="1" x14ac:dyDescent="0.25">
      <c r="A3" s="97" t="s">
        <v>7</v>
      </c>
      <c r="B3" s="101" t="s">
        <v>216</v>
      </c>
      <c r="C3" s="97" t="s">
        <v>78</v>
      </c>
      <c r="D3" s="101">
        <v>0</v>
      </c>
      <c r="E3" s="101">
        <v>0</v>
      </c>
      <c r="F3" s="101">
        <v>0</v>
      </c>
      <c r="G3" s="101">
        <v>0</v>
      </c>
      <c r="H3" s="101">
        <v>0</v>
      </c>
      <c r="I3" s="101">
        <v>0</v>
      </c>
      <c r="J3" s="101">
        <v>0</v>
      </c>
      <c r="K3" s="101">
        <v>0</v>
      </c>
      <c r="L3" s="101">
        <v>0</v>
      </c>
      <c r="M3" s="102" t="s">
        <v>600</v>
      </c>
      <c r="N3" s="101"/>
    </row>
    <row r="4" spans="1:26" ht="12.75" customHeight="1" x14ac:dyDescent="0.25">
      <c r="A4" s="97" t="s">
        <v>7</v>
      </c>
      <c r="B4" s="103" t="s">
        <v>217</v>
      </c>
      <c r="C4" s="97" t="s">
        <v>78</v>
      </c>
      <c r="D4" s="104">
        <v>1</v>
      </c>
      <c r="E4" s="104">
        <f t="shared" ref="E4:L4" si="1">E3-D3</f>
        <v>0</v>
      </c>
      <c r="F4" s="104">
        <f t="shared" si="1"/>
        <v>0</v>
      </c>
      <c r="G4" s="104">
        <f t="shared" si="1"/>
        <v>0</v>
      </c>
      <c r="H4" s="104">
        <f t="shared" si="1"/>
        <v>0</v>
      </c>
      <c r="I4" s="104">
        <f t="shared" si="1"/>
        <v>0</v>
      </c>
      <c r="J4" s="104">
        <f t="shared" si="1"/>
        <v>0</v>
      </c>
      <c r="K4" s="104">
        <f t="shared" si="1"/>
        <v>0</v>
      </c>
      <c r="L4" s="104">
        <f t="shared" si="1"/>
        <v>0</v>
      </c>
      <c r="M4" s="105"/>
      <c r="N4" s="104"/>
      <c r="O4" s="97">
        <f>SUM(D4:L4)</f>
        <v>1</v>
      </c>
    </row>
    <row r="5" spans="1:26" ht="12.75" customHeight="1" x14ac:dyDescent="0.25">
      <c r="B5" s="97" t="s">
        <v>232</v>
      </c>
      <c r="C5" s="97" t="s">
        <v>78</v>
      </c>
      <c r="D5" s="112">
        <f t="shared" ref="D5:L5" si="2">(D17/$F$9)/$D$9</f>
        <v>0</v>
      </c>
      <c r="E5" s="112">
        <f t="shared" si="2"/>
        <v>0</v>
      </c>
      <c r="F5" s="112">
        <f t="shared" si="2"/>
        <v>0</v>
      </c>
      <c r="G5" s="112">
        <f t="shared" si="2"/>
        <v>0</v>
      </c>
      <c r="H5" s="112">
        <f t="shared" si="2"/>
        <v>0</v>
      </c>
      <c r="I5" s="112">
        <f t="shared" si="2"/>
        <v>0</v>
      </c>
      <c r="J5" s="112">
        <f t="shared" si="2"/>
        <v>0</v>
      </c>
      <c r="K5" s="112">
        <f t="shared" si="2"/>
        <v>0</v>
      </c>
      <c r="L5" s="112">
        <f t="shared" si="2"/>
        <v>0</v>
      </c>
      <c r="M5" s="98"/>
      <c r="N5" s="112"/>
    </row>
    <row r="6" spans="1:26" ht="12.75" customHeight="1" x14ac:dyDescent="0.25">
      <c r="C6" s="154" t="s">
        <v>143</v>
      </c>
      <c r="D6" s="106">
        <v>2010</v>
      </c>
      <c r="E6" s="106">
        <v>2015</v>
      </c>
      <c r="F6" s="106">
        <v>2020</v>
      </c>
      <c r="G6" s="106">
        <v>2025</v>
      </c>
      <c r="H6" s="106">
        <v>2030</v>
      </c>
      <c r="I6" s="106">
        <v>2035</v>
      </c>
      <c r="J6" s="106">
        <v>2040</v>
      </c>
      <c r="K6" s="106">
        <v>2045</v>
      </c>
      <c r="L6" s="106">
        <v>2050</v>
      </c>
      <c r="M6" s="102"/>
      <c r="N6" s="106"/>
    </row>
    <row r="7" spans="1:26" ht="12.75" customHeight="1" x14ac:dyDescent="0.25">
      <c r="B7" s="154" t="s">
        <v>142</v>
      </c>
      <c r="D7" s="106"/>
      <c r="E7" s="106"/>
      <c r="F7" s="106"/>
      <c r="G7" s="106"/>
      <c r="H7" s="106"/>
      <c r="I7" s="106"/>
      <c r="J7" s="106"/>
      <c r="K7" s="106"/>
      <c r="L7" s="106"/>
      <c r="M7" s="102"/>
      <c r="N7" s="106"/>
    </row>
    <row r="8" spans="1:26" ht="63.75" customHeight="1" outlineLevel="1" x14ac:dyDescent="0.25">
      <c r="C8" s="97" t="s">
        <v>7</v>
      </c>
      <c r="D8" s="97" t="s">
        <v>134</v>
      </c>
      <c r="E8" s="97" t="s">
        <v>135</v>
      </c>
      <c r="F8" s="97" t="s">
        <v>136</v>
      </c>
      <c r="G8" s="97" t="s">
        <v>137</v>
      </c>
      <c r="M8" s="98"/>
    </row>
    <row r="9" spans="1:26" ht="12.75" customHeight="1" outlineLevel="1" x14ac:dyDescent="0.25">
      <c r="B9" s="454" t="s">
        <v>994</v>
      </c>
      <c r="D9" s="97">
        <v>3.6</v>
      </c>
      <c r="E9" s="97">
        <v>2.3883999999999999E-2</v>
      </c>
      <c r="F9" s="97">
        <v>10</v>
      </c>
      <c r="M9" s="98"/>
    </row>
    <row r="10" spans="1:26" ht="12.75" customHeight="1" outlineLevel="1" x14ac:dyDescent="0.25">
      <c r="B10" s="97" t="s">
        <v>146</v>
      </c>
      <c r="C10" s="97" t="s">
        <v>147</v>
      </c>
      <c r="D10" s="107">
        <f>D1*$F$9</f>
        <v>10</v>
      </c>
      <c r="E10" s="107">
        <f t="shared" ref="E10:L10" si="3">E1*$F$9</f>
        <v>300</v>
      </c>
      <c r="F10" s="107">
        <f t="shared" si="3"/>
        <v>1550</v>
      </c>
      <c r="G10" s="107">
        <f t="shared" si="3"/>
        <v>2000</v>
      </c>
      <c r="H10" s="107">
        <f t="shared" si="3"/>
        <v>2630</v>
      </c>
      <c r="I10" s="107">
        <f t="shared" si="3"/>
        <v>3000</v>
      </c>
      <c r="J10" s="107">
        <f t="shared" si="3"/>
        <v>3240</v>
      </c>
      <c r="K10" s="107">
        <f t="shared" si="3"/>
        <v>3500</v>
      </c>
      <c r="L10" s="107">
        <f t="shared" si="3"/>
        <v>3708</v>
      </c>
      <c r="M10" s="108"/>
      <c r="N10" s="107"/>
      <c r="U10" s="97">
        <v>2000</v>
      </c>
      <c r="V10" s="97">
        <v>2630</v>
      </c>
      <c r="W10" s="97">
        <v>3000</v>
      </c>
      <c r="X10" s="97">
        <v>3240</v>
      </c>
      <c r="Y10" s="97">
        <v>3500</v>
      </c>
      <c r="Z10" s="97">
        <v>3708</v>
      </c>
    </row>
    <row r="11" spans="1:26" ht="12.75" customHeight="1" outlineLevel="1" x14ac:dyDescent="0.25">
      <c r="B11" s="97" t="s">
        <v>146</v>
      </c>
      <c r="C11" s="109" t="s">
        <v>65</v>
      </c>
      <c r="D11" s="110">
        <f>D10*$D$9</f>
        <v>36</v>
      </c>
      <c r="E11" s="110">
        <f>E10*D9</f>
        <v>1080</v>
      </c>
      <c r="F11" s="110">
        <f t="shared" ref="F11:L11" si="4">F10*$D$9</f>
        <v>5580</v>
      </c>
      <c r="G11" s="110">
        <f t="shared" si="4"/>
        <v>7200</v>
      </c>
      <c r="H11" s="110">
        <f t="shared" si="4"/>
        <v>9468</v>
      </c>
      <c r="I11" s="110">
        <f t="shared" si="4"/>
        <v>10800</v>
      </c>
      <c r="J11" s="110">
        <f t="shared" si="4"/>
        <v>11664</v>
      </c>
      <c r="K11" s="110">
        <f t="shared" si="4"/>
        <v>12600</v>
      </c>
      <c r="L11" s="110">
        <f t="shared" si="4"/>
        <v>13348.800000000001</v>
      </c>
      <c r="M11" s="111"/>
      <c r="N11" s="110"/>
      <c r="U11" s="97">
        <v>2000</v>
      </c>
      <c r="V11" s="97">
        <v>2630</v>
      </c>
      <c r="W11" s="97">
        <v>3000</v>
      </c>
      <c r="X11" s="97">
        <v>3240</v>
      </c>
      <c r="Y11" s="97">
        <v>3500</v>
      </c>
      <c r="Z11" s="97">
        <v>3708</v>
      </c>
    </row>
    <row r="12" spans="1:26" ht="12.75" customHeight="1" outlineLevel="1" x14ac:dyDescent="0.25">
      <c r="B12" s="97" t="s">
        <v>218</v>
      </c>
      <c r="C12" s="104" t="s">
        <v>65</v>
      </c>
      <c r="D12" s="97">
        <f t="shared" ref="D12:L12" si="5">(D4*10)*$D$9</f>
        <v>36</v>
      </c>
      <c r="E12" s="112">
        <f t="shared" si="5"/>
        <v>0</v>
      </c>
      <c r="F12" s="112">
        <f t="shared" si="5"/>
        <v>0</v>
      </c>
      <c r="G12" s="112">
        <f t="shared" si="5"/>
        <v>0</v>
      </c>
      <c r="H12" s="112">
        <f t="shared" si="5"/>
        <v>0</v>
      </c>
      <c r="I12" s="112">
        <f t="shared" si="5"/>
        <v>0</v>
      </c>
      <c r="J12" s="112">
        <f t="shared" si="5"/>
        <v>0</v>
      </c>
      <c r="K12" s="112">
        <f t="shared" si="5"/>
        <v>0</v>
      </c>
      <c r="L12" s="112">
        <f t="shared" si="5"/>
        <v>0</v>
      </c>
      <c r="M12" s="113"/>
      <c r="N12" s="112"/>
      <c r="O12" s="97">
        <f>SUM(D12:L12)</f>
        <v>36</v>
      </c>
    </row>
    <row r="13" spans="1:26" ht="12.75" customHeight="1" outlineLevel="1" x14ac:dyDescent="0.25">
      <c r="C13" s="114"/>
      <c r="E13" s="112"/>
      <c r="F13" s="112"/>
      <c r="G13" s="112"/>
      <c r="H13" s="112"/>
      <c r="I13" s="112"/>
      <c r="J13" s="112"/>
      <c r="K13" s="112"/>
      <c r="L13" s="112"/>
      <c r="M13" s="113"/>
      <c r="N13" s="112"/>
    </row>
    <row r="14" spans="1:26" ht="12.75" customHeight="1" outlineLevel="1" x14ac:dyDescent="0.25">
      <c r="B14" s="97" t="s">
        <v>146</v>
      </c>
      <c r="C14" s="97" t="s">
        <v>16</v>
      </c>
      <c r="D14" s="115">
        <f t="shared" ref="D14:L14" si="6">D11*$E$9</f>
        <v>0.85982399999999992</v>
      </c>
      <c r="E14" s="112">
        <f t="shared" si="6"/>
        <v>25.794719999999998</v>
      </c>
      <c r="F14" s="112">
        <f t="shared" si="6"/>
        <v>133.27271999999999</v>
      </c>
      <c r="G14" s="112">
        <f t="shared" si="6"/>
        <v>171.9648</v>
      </c>
      <c r="H14" s="112">
        <f t="shared" si="6"/>
        <v>226.133712</v>
      </c>
      <c r="I14" s="112">
        <f t="shared" si="6"/>
        <v>257.94720000000001</v>
      </c>
      <c r="J14" s="112">
        <f t="shared" si="6"/>
        <v>278.58297599999997</v>
      </c>
      <c r="K14" s="112">
        <f t="shared" si="6"/>
        <v>300.9384</v>
      </c>
      <c r="L14" s="112">
        <f t="shared" si="6"/>
        <v>318.8227392</v>
      </c>
      <c r="M14" s="113"/>
      <c r="N14" s="112"/>
      <c r="O14" s="97" t="s">
        <v>129</v>
      </c>
      <c r="P14" s="97" t="s">
        <v>129</v>
      </c>
    </row>
    <row r="15" spans="1:26" ht="12.75" customHeight="1" outlineLevel="1" x14ac:dyDescent="0.25">
      <c r="D15" s="107"/>
      <c r="E15" s="107"/>
      <c r="F15" s="107">
        <v>92</v>
      </c>
      <c r="G15" s="107"/>
      <c r="H15" s="107"/>
      <c r="I15" s="107"/>
      <c r="J15" s="107"/>
      <c r="K15" s="107"/>
      <c r="L15" s="107"/>
      <c r="M15" s="108"/>
      <c r="N15" s="107"/>
      <c r="O15" s="97" t="s">
        <v>7</v>
      </c>
    </row>
    <row r="16" spans="1:26" ht="12.75" customHeight="1" x14ac:dyDescent="0.25">
      <c r="B16" s="154" t="s">
        <v>149</v>
      </c>
      <c r="D16" s="107"/>
      <c r="E16" s="107"/>
      <c r="F16" s="107"/>
      <c r="G16" s="107"/>
      <c r="H16" s="107"/>
      <c r="I16" s="107"/>
      <c r="J16" s="107"/>
      <c r="K16" s="107"/>
      <c r="L16" s="107"/>
      <c r="M16" s="108"/>
      <c r="N16" s="107"/>
      <c r="O16" s="97">
        <f>SUM(D16:L16)</f>
        <v>0</v>
      </c>
      <c r="P16" s="97">
        <f>O17*P17</f>
        <v>0</v>
      </c>
      <c r="Q16" s="97" t="s">
        <v>7</v>
      </c>
    </row>
    <row r="17" spans="1:19" ht="12.75" customHeight="1" x14ac:dyDescent="0.25">
      <c r="A17" s="290" t="s">
        <v>884</v>
      </c>
      <c r="B17" s="249" t="s">
        <v>739</v>
      </c>
      <c r="C17" s="95" t="s">
        <v>65</v>
      </c>
      <c r="D17" s="412">
        <v>0</v>
      </c>
      <c r="E17" s="412">
        <v>0</v>
      </c>
      <c r="F17" s="412">
        <v>0</v>
      </c>
      <c r="G17" s="412">
        <v>0</v>
      </c>
      <c r="H17" s="412">
        <v>0</v>
      </c>
      <c r="I17" s="412">
        <v>0</v>
      </c>
      <c r="J17" s="412">
        <v>0</v>
      </c>
      <c r="K17" s="412">
        <v>0</v>
      </c>
      <c r="L17" s="412">
        <v>0</v>
      </c>
      <c r="M17" s="108" t="s">
        <v>618</v>
      </c>
      <c r="O17" s="97">
        <f>SUM(D17:L17)</f>
        <v>0</v>
      </c>
      <c r="P17" s="97">
        <v>5</v>
      </c>
      <c r="Q17" s="97" t="s">
        <v>7</v>
      </c>
      <c r="R17" s="97">
        <f>O16/P17</f>
        <v>0</v>
      </c>
      <c r="S17" s="97" t="s">
        <v>7</v>
      </c>
    </row>
    <row r="18" spans="1:19" ht="12.75" customHeight="1" x14ac:dyDescent="0.25">
      <c r="C18" s="97" t="s">
        <v>16</v>
      </c>
      <c r="D18" s="97">
        <v>0</v>
      </c>
      <c r="E18" s="97">
        <v>5</v>
      </c>
      <c r="F18" s="97">
        <v>10</v>
      </c>
      <c r="G18" s="97">
        <v>23</v>
      </c>
      <c r="H18" s="97">
        <v>36</v>
      </c>
      <c r="I18" s="97">
        <v>35</v>
      </c>
      <c r="J18" s="97">
        <v>35</v>
      </c>
      <c r="K18" s="97">
        <v>35</v>
      </c>
      <c r="L18" s="97">
        <v>34</v>
      </c>
      <c r="Q18" s="112" t="s">
        <v>138</v>
      </c>
      <c r="R18" s="97" t="s">
        <v>139</v>
      </c>
      <c r="S18" s="97" t="s">
        <v>140</v>
      </c>
    </row>
    <row r="19" spans="1:19" ht="12.75" customHeight="1" x14ac:dyDescent="0.25">
      <c r="D19" s="107" t="s">
        <v>7</v>
      </c>
      <c r="E19" s="107" t="s">
        <v>229</v>
      </c>
      <c r="F19" s="107" t="s">
        <v>7</v>
      </c>
      <c r="G19" s="107" t="s">
        <v>7</v>
      </c>
      <c r="H19" s="107" t="s">
        <v>7</v>
      </c>
      <c r="I19" s="107" t="s">
        <v>7</v>
      </c>
      <c r="J19" s="107" t="s">
        <v>7</v>
      </c>
      <c r="K19" s="107" t="s">
        <v>7</v>
      </c>
      <c r="L19" s="107" t="s">
        <v>7</v>
      </c>
      <c r="M19" s="107"/>
      <c r="N19" s="107"/>
      <c r="Q19" s="97">
        <f>Lähteeeldused!M11</f>
        <v>8.5980000000000001E-2</v>
      </c>
      <c r="R19" s="97" t="s">
        <v>141</v>
      </c>
    </row>
    <row r="20" spans="1:19" ht="12.75" customHeight="1" x14ac:dyDescent="0.25">
      <c r="B20" s="97" t="s">
        <v>151</v>
      </c>
      <c r="C20" s="97" t="s">
        <v>65</v>
      </c>
      <c r="D20" s="112">
        <v>29886</v>
      </c>
      <c r="E20" s="112">
        <v>35278</v>
      </c>
      <c r="F20" s="112">
        <v>40671</v>
      </c>
      <c r="G20" s="112">
        <v>43675</v>
      </c>
      <c r="H20" s="112">
        <v>46680</v>
      </c>
      <c r="I20" s="112">
        <v>44777</v>
      </c>
      <c r="J20" s="112">
        <v>42875</v>
      </c>
      <c r="K20" s="112">
        <v>41923</v>
      </c>
      <c r="L20" s="112">
        <v>39069</v>
      </c>
      <c r="M20" s="112"/>
      <c r="N20" s="112"/>
      <c r="Q20" s="97">
        <v>10</v>
      </c>
      <c r="R20" s="97" t="s">
        <v>144</v>
      </c>
      <c r="S20" s="97" t="s">
        <v>145</v>
      </c>
    </row>
    <row r="21" spans="1:19" ht="12.75" customHeight="1" x14ac:dyDescent="0.25">
      <c r="C21" s="97" t="s">
        <v>16</v>
      </c>
      <c r="D21" s="112">
        <v>714</v>
      </c>
      <c r="E21" s="112">
        <v>843</v>
      </c>
      <c r="F21" s="112">
        <v>971</v>
      </c>
      <c r="G21" s="112">
        <v>1043</v>
      </c>
      <c r="H21" s="112">
        <v>1115</v>
      </c>
      <c r="I21" s="112">
        <v>1069</v>
      </c>
      <c r="J21" s="112">
        <v>1024</v>
      </c>
      <c r="K21" s="112">
        <v>1001</v>
      </c>
      <c r="L21" s="112">
        <v>933</v>
      </c>
      <c r="M21" s="112"/>
      <c r="N21" s="112"/>
      <c r="O21" s="107" t="s">
        <v>7</v>
      </c>
      <c r="R21" s="97">
        <v>0</v>
      </c>
      <c r="S21" s="97">
        <v>300</v>
      </c>
    </row>
    <row r="22" spans="1:19" ht="12.75" customHeight="1" x14ac:dyDescent="0.25">
      <c r="B22" s="97" t="s">
        <v>153</v>
      </c>
      <c r="C22" s="97" t="s">
        <v>154</v>
      </c>
      <c r="D22" s="116">
        <f t="shared" ref="D22:L22" si="7">D17/D20</f>
        <v>0</v>
      </c>
      <c r="E22" s="116">
        <f t="shared" si="7"/>
        <v>0</v>
      </c>
      <c r="F22" s="116">
        <f t="shared" si="7"/>
        <v>0</v>
      </c>
      <c r="G22" s="116">
        <f t="shared" si="7"/>
        <v>0</v>
      </c>
      <c r="H22" s="116">
        <f t="shared" si="7"/>
        <v>0</v>
      </c>
      <c r="I22" s="116">
        <f t="shared" si="7"/>
        <v>0</v>
      </c>
      <c r="J22" s="116">
        <f t="shared" si="7"/>
        <v>0</v>
      </c>
      <c r="K22" s="116">
        <f t="shared" si="7"/>
        <v>0</v>
      </c>
      <c r="L22" s="116">
        <f t="shared" si="7"/>
        <v>0</v>
      </c>
      <c r="M22" s="116"/>
      <c r="N22" s="116"/>
      <c r="R22" s="97">
        <v>0</v>
      </c>
      <c r="S22" s="97">
        <v>300</v>
      </c>
    </row>
    <row r="23" spans="1:19" ht="12.75" customHeight="1" x14ac:dyDescent="0.25">
      <c r="B23" s="154" t="s">
        <v>602</v>
      </c>
      <c r="D23" s="107"/>
      <c r="E23" s="107"/>
      <c r="F23" s="107"/>
      <c r="G23" s="107"/>
      <c r="H23" s="107"/>
      <c r="I23" s="107"/>
      <c r="J23" s="107"/>
      <c r="K23" s="107"/>
      <c r="L23" s="107"/>
      <c r="M23" s="107"/>
      <c r="N23" s="107"/>
      <c r="O23" s="97">
        <f>SUM(D23:L23)</f>
        <v>0</v>
      </c>
      <c r="P23" s="97">
        <f>O24*P17</f>
        <v>0</v>
      </c>
    </row>
    <row r="24" spans="1:19" ht="12.75" customHeight="1" x14ac:dyDescent="0.25">
      <c r="B24" s="169" t="s">
        <v>155</v>
      </c>
      <c r="C24" s="97" t="s">
        <v>65</v>
      </c>
      <c r="D24" s="107">
        <v>0</v>
      </c>
      <c r="E24" s="107">
        <f t="shared" ref="E24:L24" si="8">D24</f>
        <v>0</v>
      </c>
      <c r="F24" s="107">
        <f t="shared" si="8"/>
        <v>0</v>
      </c>
      <c r="G24" s="107">
        <f t="shared" si="8"/>
        <v>0</v>
      </c>
      <c r="H24" s="107">
        <f t="shared" si="8"/>
        <v>0</v>
      </c>
      <c r="I24" s="107">
        <f t="shared" si="8"/>
        <v>0</v>
      </c>
      <c r="J24" s="107">
        <f t="shared" si="8"/>
        <v>0</v>
      </c>
      <c r="K24" s="107">
        <f t="shared" si="8"/>
        <v>0</v>
      </c>
      <c r="L24" s="107">
        <f t="shared" si="8"/>
        <v>0</v>
      </c>
      <c r="M24" s="107"/>
      <c r="N24" s="107"/>
      <c r="O24" s="97">
        <f>SUM(D24:L24)</f>
        <v>0</v>
      </c>
    </row>
    <row r="25" spans="1:19" ht="12.75" customHeight="1" x14ac:dyDescent="0.25">
      <c r="B25" s="169"/>
      <c r="C25" s="97" t="s">
        <v>16</v>
      </c>
      <c r="D25" s="107">
        <f t="shared" ref="D25:L25" si="9">D24*$E$9</f>
        <v>0</v>
      </c>
      <c r="E25" s="107">
        <f t="shared" si="9"/>
        <v>0</v>
      </c>
      <c r="F25" s="107">
        <f t="shared" si="9"/>
        <v>0</v>
      </c>
      <c r="G25" s="107">
        <f t="shared" si="9"/>
        <v>0</v>
      </c>
      <c r="H25" s="107">
        <f t="shared" si="9"/>
        <v>0</v>
      </c>
      <c r="I25" s="107">
        <f t="shared" si="9"/>
        <v>0</v>
      </c>
      <c r="J25" s="107">
        <f t="shared" si="9"/>
        <v>0</v>
      </c>
      <c r="K25" s="107">
        <f t="shared" si="9"/>
        <v>0</v>
      </c>
      <c r="L25" s="107">
        <f t="shared" si="9"/>
        <v>0</v>
      </c>
      <c r="M25" s="107"/>
      <c r="N25" s="107"/>
      <c r="P25" s="115" t="s">
        <v>7</v>
      </c>
    </row>
    <row r="26" spans="1:19" ht="12.75" customHeight="1" x14ac:dyDescent="0.25">
      <c r="B26" s="169" t="s">
        <v>156</v>
      </c>
      <c r="C26" s="97" t="s">
        <v>154</v>
      </c>
      <c r="D26" s="116">
        <v>0</v>
      </c>
      <c r="E26" s="116">
        <f t="shared" ref="E26:L26" si="10">D26</f>
        <v>0</v>
      </c>
      <c r="F26" s="116">
        <f t="shared" si="10"/>
        <v>0</v>
      </c>
      <c r="G26" s="116">
        <f t="shared" si="10"/>
        <v>0</v>
      </c>
      <c r="H26" s="116">
        <f t="shared" si="10"/>
        <v>0</v>
      </c>
      <c r="I26" s="116">
        <f t="shared" si="10"/>
        <v>0</v>
      </c>
      <c r="J26" s="116">
        <f t="shared" si="10"/>
        <v>0</v>
      </c>
      <c r="K26" s="116">
        <f t="shared" si="10"/>
        <v>0</v>
      </c>
      <c r="L26" s="116">
        <f t="shared" si="10"/>
        <v>0</v>
      </c>
      <c r="M26" s="116"/>
      <c r="N26" s="116"/>
    </row>
    <row r="27" spans="1:19" ht="12.75" customHeight="1" x14ac:dyDescent="0.25">
      <c r="B27" s="154" t="s">
        <v>601</v>
      </c>
      <c r="D27" s="116"/>
      <c r="E27" s="116"/>
      <c r="F27" s="116"/>
      <c r="G27" s="116"/>
      <c r="H27" s="116"/>
      <c r="I27" s="116"/>
      <c r="J27" s="116"/>
      <c r="K27" s="116"/>
      <c r="L27" s="116"/>
      <c r="M27" s="116"/>
      <c r="N27" s="116"/>
    </row>
    <row r="28" spans="1:19" ht="12.75" customHeight="1" x14ac:dyDescent="0.25">
      <c r="A28" s="97">
        <f>A54*1.07</f>
        <v>0.85600000000000009</v>
      </c>
      <c r="B28" s="169" t="s">
        <v>219</v>
      </c>
      <c r="D28" s="107">
        <f>(D29/10)/3.6</f>
        <v>0</v>
      </c>
      <c r="E28" s="107"/>
      <c r="F28" s="107"/>
      <c r="G28" s="107"/>
      <c r="H28" s="107"/>
      <c r="I28" s="107"/>
      <c r="J28" s="107"/>
      <c r="K28" s="107"/>
      <c r="L28" s="107"/>
      <c r="M28" s="107"/>
      <c r="N28" s="107"/>
    </row>
    <row r="29" spans="1:19" ht="12.75" customHeight="1" x14ac:dyDescent="0.25">
      <c r="A29" s="97">
        <f>(A28*F9)*D9</f>
        <v>30.816000000000003</v>
      </c>
      <c r="B29" s="169" t="s">
        <v>157</v>
      </c>
      <c r="C29" s="97" t="s">
        <v>158</v>
      </c>
      <c r="D29" s="118">
        <v>0</v>
      </c>
      <c r="E29" s="107">
        <f t="shared" ref="E29:L29" si="11">D29*1.01</f>
        <v>0</v>
      </c>
      <c r="F29" s="107">
        <f t="shared" si="11"/>
        <v>0</v>
      </c>
      <c r="G29" s="107">
        <f t="shared" si="11"/>
        <v>0</v>
      </c>
      <c r="H29" s="107">
        <f t="shared" si="11"/>
        <v>0</v>
      </c>
      <c r="I29" s="107">
        <f t="shared" si="11"/>
        <v>0</v>
      </c>
      <c r="J29" s="107">
        <f t="shared" si="11"/>
        <v>0</v>
      </c>
      <c r="K29" s="107">
        <f t="shared" si="11"/>
        <v>0</v>
      </c>
      <c r="L29" s="107">
        <f t="shared" si="11"/>
        <v>0</v>
      </c>
      <c r="M29" s="107"/>
      <c r="N29" s="107"/>
    </row>
    <row r="30" spans="1:19" ht="12.75" customHeight="1" x14ac:dyDescent="0.25">
      <c r="A30" s="115">
        <f>(D30/10)/3.6</f>
        <v>0.29472222222222222</v>
      </c>
      <c r="B30" s="169" t="s">
        <v>159</v>
      </c>
      <c r="C30" s="97" t="s">
        <v>158</v>
      </c>
      <c r="D30" s="107">
        <v>10.61</v>
      </c>
      <c r="E30" s="107">
        <v>10.14</v>
      </c>
      <c r="F30" s="107">
        <v>10.210000000000001</v>
      </c>
      <c r="G30" s="107">
        <v>10.39</v>
      </c>
      <c r="H30" s="107">
        <v>10.56</v>
      </c>
      <c r="I30" s="107">
        <v>10.9</v>
      </c>
      <c r="J30" s="107">
        <v>11.88</v>
      </c>
      <c r="K30" s="107">
        <v>12.87</v>
      </c>
      <c r="L30" s="107">
        <v>13.85</v>
      </c>
      <c r="M30" s="107"/>
      <c r="N30" s="107"/>
    </row>
    <row r="31" spans="1:19" ht="12.75" hidden="1" customHeight="1" x14ac:dyDescent="0.25">
      <c r="A31" s="115">
        <f>(D31/10)/3.6</f>
        <v>0.41388888888888886</v>
      </c>
      <c r="B31" s="169" t="s">
        <v>160</v>
      </c>
      <c r="C31" s="97" t="s">
        <v>158</v>
      </c>
      <c r="D31" s="97">
        <v>14.9</v>
      </c>
    </row>
    <row r="32" spans="1:19" ht="12.75" hidden="1" customHeight="1" x14ac:dyDescent="0.25">
      <c r="B32" s="169" t="s">
        <v>161</v>
      </c>
      <c r="C32" s="97" t="s">
        <v>158</v>
      </c>
      <c r="E32" s="107">
        <v>18.018999999999998</v>
      </c>
      <c r="F32" s="107">
        <v>18.344000000000001</v>
      </c>
      <c r="G32" s="107">
        <v>18.831</v>
      </c>
      <c r="H32" s="107">
        <v>19.641999999999999</v>
      </c>
      <c r="I32" s="107">
        <v>20.779</v>
      </c>
      <c r="J32" s="107">
        <v>21.593</v>
      </c>
      <c r="K32" s="107">
        <v>22.407</v>
      </c>
      <c r="L32" s="107">
        <v>23.22</v>
      </c>
      <c r="M32" s="107"/>
      <c r="N32" s="107"/>
      <c r="P32" s="97" t="s">
        <v>152</v>
      </c>
    </row>
    <row r="33" spans="1:22" ht="12.75" customHeight="1" x14ac:dyDescent="0.25">
      <c r="A33" s="115">
        <f>((E33/1000)/10)/3.6</f>
        <v>0.49558333333333332</v>
      </c>
      <c r="B33" s="169" t="s">
        <v>162</v>
      </c>
      <c r="C33" s="97" t="s">
        <v>163</v>
      </c>
      <c r="E33" s="112">
        <v>17841</v>
      </c>
      <c r="F33" s="112">
        <v>17992</v>
      </c>
      <c r="G33" s="112">
        <v>18143</v>
      </c>
      <c r="H33" s="112">
        <v>18597</v>
      </c>
      <c r="I33" s="112">
        <v>19201</v>
      </c>
      <c r="J33" s="112">
        <v>19661</v>
      </c>
      <c r="K33" s="112">
        <v>20121</v>
      </c>
      <c r="L33" s="112">
        <v>20581</v>
      </c>
      <c r="M33" s="112"/>
      <c r="N33" s="112"/>
      <c r="P33" s="97">
        <v>37710</v>
      </c>
    </row>
    <row r="34" spans="1:22" ht="12.75" customHeight="1" x14ac:dyDescent="0.25">
      <c r="A34" s="115"/>
      <c r="B34" s="154" t="s">
        <v>604</v>
      </c>
      <c r="E34" s="112"/>
      <c r="F34" s="112"/>
      <c r="G34" s="112"/>
      <c r="H34" s="112"/>
      <c r="I34" s="112"/>
      <c r="J34" s="112"/>
      <c r="K34" s="112"/>
      <c r="L34" s="112"/>
      <c r="M34" s="112"/>
      <c r="N34" s="112"/>
    </row>
    <row r="35" spans="1:22" ht="12.75" customHeight="1" x14ac:dyDescent="0.25">
      <c r="B35" s="97" t="s">
        <v>164</v>
      </c>
      <c r="C35" s="97" t="s">
        <v>158</v>
      </c>
      <c r="D35" s="107">
        <v>0</v>
      </c>
      <c r="E35" s="107">
        <f t="shared" ref="E35:L35" si="12">D35</f>
        <v>0</v>
      </c>
      <c r="F35" s="107">
        <f t="shared" si="12"/>
        <v>0</v>
      </c>
      <c r="G35" s="107">
        <f t="shared" si="12"/>
        <v>0</v>
      </c>
      <c r="H35" s="107">
        <f t="shared" si="12"/>
        <v>0</v>
      </c>
      <c r="I35" s="107">
        <f t="shared" si="12"/>
        <v>0</v>
      </c>
      <c r="J35" s="107">
        <f t="shared" si="12"/>
        <v>0</v>
      </c>
      <c r="K35" s="107">
        <f t="shared" si="12"/>
        <v>0</v>
      </c>
      <c r="L35" s="107">
        <f t="shared" si="12"/>
        <v>0</v>
      </c>
      <c r="M35" s="107"/>
      <c r="N35" s="107"/>
    </row>
    <row r="36" spans="1:22" ht="12.75" customHeight="1" x14ac:dyDescent="0.25">
      <c r="B36" s="97" t="s">
        <v>165</v>
      </c>
      <c r="C36" s="97" t="s">
        <v>166</v>
      </c>
      <c r="D36" s="107">
        <f t="shared" ref="D36:L36" si="13">(D35/1000)*D17</f>
        <v>0</v>
      </c>
      <c r="E36" s="107">
        <f t="shared" si="13"/>
        <v>0</v>
      </c>
      <c r="F36" s="107">
        <f t="shared" si="13"/>
        <v>0</v>
      </c>
      <c r="G36" s="107">
        <f t="shared" si="13"/>
        <v>0</v>
      </c>
      <c r="H36" s="107">
        <f t="shared" si="13"/>
        <v>0</v>
      </c>
      <c r="I36" s="107">
        <f t="shared" si="13"/>
        <v>0</v>
      </c>
      <c r="J36" s="107">
        <f t="shared" si="13"/>
        <v>0</v>
      </c>
      <c r="K36" s="107">
        <f t="shared" si="13"/>
        <v>0</v>
      </c>
      <c r="L36" s="107">
        <f t="shared" si="13"/>
        <v>0</v>
      </c>
      <c r="M36" s="107"/>
      <c r="N36" s="107"/>
    </row>
    <row r="37" spans="1:22" ht="12.75" customHeight="1" x14ac:dyDescent="0.25">
      <c r="B37" s="97" t="s">
        <v>167</v>
      </c>
      <c r="C37" s="97" t="s">
        <v>166</v>
      </c>
      <c r="D37" s="107">
        <f t="shared" ref="D37:L37" si="14">(D24*D30)/1000</f>
        <v>0</v>
      </c>
      <c r="E37" s="107">
        <f t="shared" si="14"/>
        <v>0</v>
      </c>
      <c r="F37" s="107">
        <f t="shared" si="14"/>
        <v>0</v>
      </c>
      <c r="G37" s="107">
        <f t="shared" si="14"/>
        <v>0</v>
      </c>
      <c r="H37" s="107">
        <f t="shared" si="14"/>
        <v>0</v>
      </c>
      <c r="I37" s="107">
        <f t="shared" si="14"/>
        <v>0</v>
      </c>
      <c r="J37" s="107">
        <f t="shared" si="14"/>
        <v>0</v>
      </c>
      <c r="K37" s="107">
        <f t="shared" si="14"/>
        <v>0</v>
      </c>
      <c r="L37" s="107">
        <f t="shared" si="14"/>
        <v>0</v>
      </c>
      <c r="M37" s="107"/>
      <c r="N37" s="107"/>
    </row>
    <row r="38" spans="1:22" ht="12.75" customHeight="1" x14ac:dyDescent="0.25">
      <c r="B38" s="154" t="s">
        <v>605</v>
      </c>
      <c r="D38" s="107"/>
      <c r="E38" s="107"/>
      <c r="F38" s="107"/>
      <c r="G38" s="107"/>
      <c r="H38" s="107"/>
      <c r="I38" s="107"/>
      <c r="J38" s="107"/>
      <c r="K38" s="107"/>
      <c r="L38" s="107"/>
      <c r="M38" s="107"/>
      <c r="N38" s="107"/>
    </row>
    <row r="39" spans="1:22" ht="12.75" customHeight="1" x14ac:dyDescent="0.25">
      <c r="B39" s="169" t="s">
        <v>168</v>
      </c>
      <c r="C39" s="97" t="s">
        <v>169</v>
      </c>
      <c r="D39" s="107">
        <f t="shared" ref="D39:L39" si="15">(D33*D24)/1000000</f>
        <v>0</v>
      </c>
      <c r="E39" s="107">
        <f t="shared" si="15"/>
        <v>0</v>
      </c>
      <c r="F39" s="107">
        <f t="shared" si="15"/>
        <v>0</v>
      </c>
      <c r="G39" s="107">
        <f t="shared" si="15"/>
        <v>0</v>
      </c>
      <c r="H39" s="107">
        <f t="shared" si="15"/>
        <v>0</v>
      </c>
      <c r="I39" s="107">
        <f t="shared" si="15"/>
        <v>0</v>
      </c>
      <c r="J39" s="107">
        <f t="shared" si="15"/>
        <v>0</v>
      </c>
      <c r="K39" s="107">
        <f t="shared" si="15"/>
        <v>0</v>
      </c>
      <c r="L39" s="107">
        <f t="shared" si="15"/>
        <v>0</v>
      </c>
      <c r="M39" s="107"/>
      <c r="N39" s="107"/>
    </row>
    <row r="40" spans="1:22" ht="12.75" customHeight="1" x14ac:dyDescent="0.25">
      <c r="B40" s="169" t="s">
        <v>170</v>
      </c>
      <c r="C40" s="97" t="s">
        <v>169</v>
      </c>
      <c r="D40" s="107">
        <f t="shared" ref="D40:L40" si="16">(D30*D24)/1000</f>
        <v>0</v>
      </c>
      <c r="E40" s="115">
        <f t="shared" si="16"/>
        <v>0</v>
      </c>
      <c r="F40" s="107">
        <f t="shared" si="16"/>
        <v>0</v>
      </c>
      <c r="G40" s="107">
        <f t="shared" si="16"/>
        <v>0</v>
      </c>
      <c r="H40" s="107">
        <f t="shared" si="16"/>
        <v>0</v>
      </c>
      <c r="I40" s="107">
        <f t="shared" si="16"/>
        <v>0</v>
      </c>
      <c r="J40" s="107">
        <f t="shared" si="16"/>
        <v>0</v>
      </c>
      <c r="K40" s="107">
        <f t="shared" si="16"/>
        <v>0</v>
      </c>
      <c r="L40" s="107">
        <f t="shared" si="16"/>
        <v>0</v>
      </c>
      <c r="M40" s="107"/>
      <c r="N40" s="107"/>
    </row>
    <row r="41" spans="1:22" ht="12.75" customHeight="1" x14ac:dyDescent="0.25">
      <c r="B41" s="169" t="s">
        <v>171</v>
      </c>
      <c r="C41" s="97" t="s">
        <v>169</v>
      </c>
      <c r="D41" s="107">
        <f t="shared" ref="D41:L41" si="17">(D17*D30)/1000</f>
        <v>0</v>
      </c>
      <c r="E41" s="115">
        <f t="shared" si="17"/>
        <v>0</v>
      </c>
      <c r="F41" s="107">
        <f t="shared" si="17"/>
        <v>0</v>
      </c>
      <c r="G41" s="107">
        <f t="shared" si="17"/>
        <v>0</v>
      </c>
      <c r="H41" s="107">
        <f t="shared" si="17"/>
        <v>0</v>
      </c>
      <c r="I41" s="107">
        <f t="shared" si="17"/>
        <v>0</v>
      </c>
      <c r="J41" s="107">
        <f t="shared" si="17"/>
        <v>0</v>
      </c>
      <c r="K41" s="107">
        <f t="shared" si="17"/>
        <v>0</v>
      </c>
      <c r="L41" s="107">
        <f t="shared" si="17"/>
        <v>0</v>
      </c>
      <c r="M41" s="107"/>
      <c r="N41" s="107"/>
    </row>
    <row r="42" spans="1:22" ht="12.75" customHeight="1" x14ac:dyDescent="0.25">
      <c r="A42" s="119"/>
      <c r="B42" s="177" t="s">
        <v>172</v>
      </c>
      <c r="C42" s="154" t="s">
        <v>169</v>
      </c>
      <c r="D42" s="160">
        <f t="shared" ref="D42:L42" si="18">D41+D40</f>
        <v>0</v>
      </c>
      <c r="E42" s="178">
        <f t="shared" si="18"/>
        <v>0</v>
      </c>
      <c r="F42" s="160">
        <f t="shared" si="18"/>
        <v>0</v>
      </c>
      <c r="G42" s="160">
        <f t="shared" si="18"/>
        <v>0</v>
      </c>
      <c r="H42" s="160">
        <f t="shared" si="18"/>
        <v>0</v>
      </c>
      <c r="I42" s="160">
        <f t="shared" si="18"/>
        <v>0</v>
      </c>
      <c r="J42" s="160">
        <f t="shared" si="18"/>
        <v>0</v>
      </c>
      <c r="K42" s="160">
        <f t="shared" si="18"/>
        <v>0</v>
      </c>
      <c r="L42" s="160">
        <f t="shared" si="18"/>
        <v>0</v>
      </c>
      <c r="M42" s="121"/>
      <c r="N42" s="121"/>
      <c r="T42" s="119"/>
      <c r="U42" s="119"/>
      <c r="V42" s="119"/>
    </row>
    <row r="43" spans="1:22" ht="12.75" hidden="1" customHeight="1" outlineLevel="1" x14ac:dyDescent="0.25">
      <c r="B43" s="169" t="s">
        <v>220</v>
      </c>
      <c r="C43" s="120" t="s">
        <v>169</v>
      </c>
      <c r="D43" s="107">
        <f t="shared" ref="D43:L43" si="19">(D36+D41)+D39</f>
        <v>0</v>
      </c>
      <c r="E43" s="107">
        <f t="shared" si="19"/>
        <v>0</v>
      </c>
      <c r="F43" s="107">
        <f t="shared" si="19"/>
        <v>0</v>
      </c>
      <c r="G43" s="107">
        <f t="shared" si="19"/>
        <v>0</v>
      </c>
      <c r="H43" s="107">
        <f t="shared" si="19"/>
        <v>0</v>
      </c>
      <c r="I43" s="107">
        <f t="shared" si="19"/>
        <v>0</v>
      </c>
      <c r="J43" s="107">
        <f t="shared" si="19"/>
        <v>0</v>
      </c>
      <c r="K43" s="107">
        <f t="shared" si="19"/>
        <v>0</v>
      </c>
      <c r="L43" s="107">
        <f t="shared" si="19"/>
        <v>0</v>
      </c>
      <c r="M43" s="107"/>
      <c r="N43" s="107"/>
      <c r="R43" s="97" t="s">
        <v>7</v>
      </c>
    </row>
    <row r="44" spans="1:22" ht="12.75" hidden="1" customHeight="1" outlineLevel="1" x14ac:dyDescent="0.25">
      <c r="A44" s="97" t="s">
        <v>221</v>
      </c>
      <c r="B44" s="172" t="s">
        <v>222</v>
      </c>
      <c r="C44" s="97" t="s">
        <v>169</v>
      </c>
      <c r="D44" s="124">
        <f>124/370.8</f>
        <v>0.33441208198489752</v>
      </c>
      <c r="E44" s="107"/>
      <c r="F44" s="107"/>
      <c r="G44" s="107"/>
      <c r="H44" s="107"/>
      <c r="I44" s="107"/>
      <c r="J44" s="107"/>
      <c r="K44" s="107"/>
      <c r="L44" s="107"/>
      <c r="M44" s="107"/>
      <c r="N44" s="107"/>
    </row>
    <row r="45" spans="1:22" ht="12.75" hidden="1" customHeight="1" outlineLevel="1" x14ac:dyDescent="0.25">
      <c r="B45" s="169" t="s">
        <v>223</v>
      </c>
      <c r="C45" s="97" t="s">
        <v>166</v>
      </c>
      <c r="D45" s="107">
        <f t="shared" ref="D45:L45" si="20">D3*$D$44</f>
        <v>0</v>
      </c>
      <c r="E45" s="107">
        <f t="shared" si="20"/>
        <v>0</v>
      </c>
      <c r="F45" s="107">
        <f t="shared" si="20"/>
        <v>0</v>
      </c>
      <c r="G45" s="107">
        <f t="shared" si="20"/>
        <v>0</v>
      </c>
      <c r="H45" s="107">
        <f t="shared" si="20"/>
        <v>0</v>
      </c>
      <c r="I45" s="107">
        <f t="shared" si="20"/>
        <v>0</v>
      </c>
      <c r="J45" s="107">
        <f t="shared" si="20"/>
        <v>0</v>
      </c>
      <c r="K45" s="107">
        <f t="shared" si="20"/>
        <v>0</v>
      </c>
      <c r="L45" s="125">
        <f t="shared" si="20"/>
        <v>0</v>
      </c>
      <c r="M45" s="125"/>
      <c r="N45" s="125"/>
      <c r="O45" s="97">
        <v>1000</v>
      </c>
    </row>
    <row r="46" spans="1:22" ht="12.75" hidden="1" customHeight="1" outlineLevel="1" x14ac:dyDescent="0.25">
      <c r="B46" s="169" t="s">
        <v>175</v>
      </c>
      <c r="C46" s="97" t="s">
        <v>166</v>
      </c>
      <c r="D46" s="107">
        <f t="shared" ref="D46:L46" si="21">D45-D36</f>
        <v>0</v>
      </c>
      <c r="E46" s="107">
        <f t="shared" si="21"/>
        <v>0</v>
      </c>
      <c r="F46" s="107">
        <f t="shared" si="21"/>
        <v>0</v>
      </c>
      <c r="G46" s="107">
        <f t="shared" si="21"/>
        <v>0</v>
      </c>
      <c r="H46" s="107">
        <f t="shared" si="21"/>
        <v>0</v>
      </c>
      <c r="I46" s="107">
        <f t="shared" si="21"/>
        <v>0</v>
      </c>
      <c r="J46" s="107">
        <f t="shared" si="21"/>
        <v>0</v>
      </c>
      <c r="K46" s="107">
        <f t="shared" si="21"/>
        <v>0</v>
      </c>
      <c r="L46" s="107">
        <f t="shared" si="21"/>
        <v>0</v>
      </c>
      <c r="M46" s="107"/>
      <c r="N46" s="107"/>
    </row>
    <row r="47" spans="1:22" ht="12.75" hidden="1" customHeight="1" outlineLevel="1" x14ac:dyDescent="0.25">
      <c r="B47" s="169" t="s">
        <v>224</v>
      </c>
      <c r="C47" s="97" t="s">
        <v>166</v>
      </c>
      <c r="D47" s="107">
        <f t="shared" ref="D47:L47" si="22">(D45-D36)-D37</f>
        <v>0</v>
      </c>
      <c r="E47" s="107">
        <f t="shared" si="22"/>
        <v>0</v>
      </c>
      <c r="F47" s="107">
        <f t="shared" si="22"/>
        <v>0</v>
      </c>
      <c r="G47" s="107">
        <f t="shared" si="22"/>
        <v>0</v>
      </c>
      <c r="H47" s="107">
        <f t="shared" si="22"/>
        <v>0</v>
      </c>
      <c r="I47" s="107">
        <f t="shared" si="22"/>
        <v>0</v>
      </c>
      <c r="J47" s="107">
        <f t="shared" si="22"/>
        <v>0</v>
      </c>
      <c r="K47" s="107">
        <f t="shared" si="22"/>
        <v>0</v>
      </c>
      <c r="L47" s="107">
        <f t="shared" si="22"/>
        <v>0</v>
      </c>
      <c r="M47" s="107"/>
      <c r="N47" s="107"/>
    </row>
    <row r="48" spans="1:22" ht="12.75" customHeight="1" collapsed="1" x14ac:dyDescent="0.25">
      <c r="B48" s="174" t="s">
        <v>612</v>
      </c>
      <c r="D48" s="107"/>
      <c r="E48" s="107"/>
      <c r="F48" s="107"/>
      <c r="G48" s="107"/>
      <c r="H48" s="107"/>
      <c r="I48" s="107"/>
      <c r="J48" s="107"/>
      <c r="K48" s="107"/>
      <c r="L48" s="107"/>
      <c r="M48" s="107"/>
      <c r="N48" s="107"/>
    </row>
    <row r="49" spans="1:22" ht="12.75" customHeight="1" x14ac:dyDescent="0.25">
      <c r="B49" s="169" t="s">
        <v>225</v>
      </c>
      <c r="C49" s="127">
        <f>abitabelid!I17</f>
        <v>0.35348212628212627</v>
      </c>
    </row>
    <row r="50" spans="1:22" ht="12.75" customHeight="1" x14ac:dyDescent="0.25">
      <c r="B50" s="169" t="s">
        <v>177</v>
      </c>
      <c r="C50" s="97" t="s">
        <v>178</v>
      </c>
      <c r="D50" s="128">
        <f t="shared" ref="D50:L50" si="23">($C$49*D10)/1000</f>
        <v>3.5348212628212626E-3</v>
      </c>
      <c r="E50" s="128">
        <f t="shared" si="23"/>
        <v>0.10604463788463787</v>
      </c>
      <c r="F50" s="128">
        <f t="shared" si="23"/>
        <v>0.54789729573729573</v>
      </c>
      <c r="G50" s="128">
        <f t="shared" si="23"/>
        <v>0.70696425256425255</v>
      </c>
      <c r="H50" s="128">
        <f t="shared" si="23"/>
        <v>0.92965799212199218</v>
      </c>
      <c r="I50" s="128">
        <f t="shared" si="23"/>
        <v>1.0604463788463787</v>
      </c>
      <c r="J50" s="128">
        <f t="shared" si="23"/>
        <v>1.1452820891540891</v>
      </c>
      <c r="K50" s="128">
        <f t="shared" si="23"/>
        <v>1.237187441987442</v>
      </c>
      <c r="L50" s="128">
        <f t="shared" si="23"/>
        <v>1.3107117242541242</v>
      </c>
      <c r="M50" s="128"/>
      <c r="N50" s="128"/>
    </row>
    <row r="51" spans="1:22" ht="12.75" customHeight="1" x14ac:dyDescent="0.25">
      <c r="B51" s="169" t="s">
        <v>177</v>
      </c>
      <c r="C51" s="97" t="s">
        <v>179</v>
      </c>
      <c r="D51" s="128">
        <f t="shared" ref="D51:L51" si="24">($C$49*D11)/1000</f>
        <v>1.2725356546156546E-2</v>
      </c>
      <c r="E51" s="128">
        <f t="shared" si="24"/>
        <v>0.38176069638469634</v>
      </c>
      <c r="F51" s="128">
        <f t="shared" si="24"/>
        <v>1.9724302646542646</v>
      </c>
      <c r="G51" s="128">
        <f t="shared" si="24"/>
        <v>2.5450713092313091</v>
      </c>
      <c r="H51" s="128">
        <f t="shared" si="24"/>
        <v>3.3467687716391716</v>
      </c>
      <c r="I51" s="128">
        <f t="shared" si="24"/>
        <v>3.8176069638469641</v>
      </c>
      <c r="J51" s="128">
        <f t="shared" si="24"/>
        <v>4.1230155209547208</v>
      </c>
      <c r="K51" s="128">
        <f t="shared" si="24"/>
        <v>4.4538747911547905</v>
      </c>
      <c r="L51" s="128">
        <f t="shared" si="24"/>
        <v>4.7185622073148483</v>
      </c>
      <c r="M51" s="128"/>
      <c r="N51" s="128"/>
    </row>
    <row r="52" spans="1:22" ht="12.75" customHeight="1" x14ac:dyDescent="0.25">
      <c r="A52" s="107">
        <f>(A55+A56)+A57</f>
        <v>0.67</v>
      </c>
      <c r="B52" s="173" t="s">
        <v>226</v>
      </c>
      <c r="C52" s="107" t="s">
        <v>169</v>
      </c>
      <c r="D52" s="107">
        <f t="shared" ref="D52:L52" si="25">D43</f>
        <v>0</v>
      </c>
      <c r="E52" s="107">
        <f t="shared" si="25"/>
        <v>0</v>
      </c>
      <c r="F52" s="107">
        <f t="shared" si="25"/>
        <v>0</v>
      </c>
      <c r="G52" s="107">
        <f t="shared" si="25"/>
        <v>0</v>
      </c>
      <c r="H52" s="107">
        <f t="shared" si="25"/>
        <v>0</v>
      </c>
      <c r="I52" s="107">
        <f t="shared" si="25"/>
        <v>0</v>
      </c>
      <c r="J52" s="107">
        <f t="shared" si="25"/>
        <v>0</v>
      </c>
      <c r="K52" s="107">
        <f t="shared" si="25"/>
        <v>0</v>
      </c>
      <c r="L52" s="107">
        <f t="shared" si="25"/>
        <v>0</v>
      </c>
      <c r="M52" s="107"/>
      <c r="N52" s="107"/>
    </row>
    <row r="53" spans="1:22" ht="12.75" customHeight="1" x14ac:dyDescent="0.25">
      <c r="A53" s="107"/>
      <c r="B53" s="160" t="s">
        <v>608</v>
      </c>
      <c r="C53" s="107"/>
      <c r="D53" s="107"/>
      <c r="E53" s="107"/>
      <c r="F53" s="107"/>
      <c r="G53" s="107"/>
      <c r="H53" s="107"/>
      <c r="I53" s="107"/>
      <c r="J53" s="107"/>
      <c r="K53" s="107"/>
      <c r="L53" s="107"/>
      <c r="M53" s="107"/>
      <c r="N53" s="107"/>
    </row>
    <row r="54" spans="1:22" ht="12.75" customHeight="1" x14ac:dyDescent="0.25">
      <c r="A54" s="119">
        <f>((A58+A57)+A56)+A55</f>
        <v>0.8</v>
      </c>
      <c r="B54" s="167" t="s">
        <v>180</v>
      </c>
      <c r="C54" s="119" t="s">
        <v>181</v>
      </c>
      <c r="D54" s="119">
        <f t="shared" ref="D54:L54" si="26">SUM(D55:D58)</f>
        <v>0</v>
      </c>
      <c r="E54" s="119">
        <f t="shared" si="26"/>
        <v>0</v>
      </c>
      <c r="F54" s="119">
        <f t="shared" si="26"/>
        <v>0</v>
      </c>
      <c r="G54" s="119">
        <f t="shared" si="26"/>
        <v>0</v>
      </c>
      <c r="H54" s="119">
        <f t="shared" si="26"/>
        <v>0</v>
      </c>
      <c r="I54" s="119">
        <f t="shared" si="26"/>
        <v>0</v>
      </c>
      <c r="J54" s="119">
        <f t="shared" si="26"/>
        <v>0</v>
      </c>
      <c r="K54" s="119">
        <f t="shared" si="26"/>
        <v>0</v>
      </c>
      <c r="L54" s="119">
        <f t="shared" si="26"/>
        <v>0</v>
      </c>
      <c r="M54" s="119"/>
      <c r="N54" s="119"/>
      <c r="T54" s="119"/>
      <c r="U54" s="119"/>
      <c r="V54" s="119"/>
    </row>
    <row r="55" spans="1:22" ht="12.75" customHeight="1" x14ac:dyDescent="0.25">
      <c r="A55" s="97">
        <v>0.35</v>
      </c>
      <c r="B55" s="169" t="s">
        <v>182</v>
      </c>
      <c r="C55" s="97" t="s">
        <v>181</v>
      </c>
      <c r="D55" s="97">
        <f t="shared" ref="D55:L55" si="27">$A$55*D3</f>
        <v>0</v>
      </c>
      <c r="E55" s="97">
        <f t="shared" si="27"/>
        <v>0</v>
      </c>
      <c r="F55" s="97">
        <f t="shared" si="27"/>
        <v>0</v>
      </c>
      <c r="G55" s="97">
        <f t="shared" si="27"/>
        <v>0</v>
      </c>
      <c r="H55" s="97">
        <f t="shared" si="27"/>
        <v>0</v>
      </c>
      <c r="I55" s="97">
        <f t="shared" si="27"/>
        <v>0</v>
      </c>
      <c r="J55" s="97">
        <f t="shared" si="27"/>
        <v>0</v>
      </c>
      <c r="K55" s="97">
        <f t="shared" si="27"/>
        <v>0</v>
      </c>
      <c r="L55" s="97">
        <f t="shared" si="27"/>
        <v>0</v>
      </c>
      <c r="O55" s="119"/>
      <c r="P55" s="119"/>
      <c r="Q55" s="119"/>
      <c r="R55" s="119"/>
      <c r="S55" s="119"/>
    </row>
    <row r="56" spans="1:22" ht="12.75" customHeight="1" x14ac:dyDescent="0.25">
      <c r="A56" s="97">
        <v>0.17</v>
      </c>
      <c r="B56" s="169" t="s">
        <v>183</v>
      </c>
      <c r="C56" s="97" t="s">
        <v>181</v>
      </c>
      <c r="D56" s="97">
        <f t="shared" ref="D56:L56" si="28">$A$56*D3</f>
        <v>0</v>
      </c>
      <c r="E56" s="97">
        <f t="shared" si="28"/>
        <v>0</v>
      </c>
      <c r="F56" s="97">
        <f t="shared" si="28"/>
        <v>0</v>
      </c>
      <c r="G56" s="97">
        <f t="shared" si="28"/>
        <v>0</v>
      </c>
      <c r="H56" s="97">
        <f t="shared" si="28"/>
        <v>0</v>
      </c>
      <c r="I56" s="97">
        <f t="shared" si="28"/>
        <v>0</v>
      </c>
      <c r="J56" s="97">
        <f t="shared" si="28"/>
        <v>0</v>
      </c>
      <c r="K56" s="97">
        <f t="shared" si="28"/>
        <v>0</v>
      </c>
      <c r="L56" s="97">
        <f t="shared" si="28"/>
        <v>0</v>
      </c>
    </row>
    <row r="57" spans="1:22" ht="12.75" customHeight="1" x14ac:dyDescent="0.25">
      <c r="A57" s="97">
        <v>0.15</v>
      </c>
      <c r="B57" s="169" t="s">
        <v>184</v>
      </c>
      <c r="C57" s="97" t="s">
        <v>181</v>
      </c>
      <c r="D57" s="97">
        <f t="shared" ref="D57:L57" si="29">$A$57*D3</f>
        <v>0</v>
      </c>
      <c r="E57" s="97">
        <f t="shared" si="29"/>
        <v>0</v>
      </c>
      <c r="F57" s="97">
        <f t="shared" si="29"/>
        <v>0</v>
      </c>
      <c r="G57" s="97">
        <f t="shared" si="29"/>
        <v>0</v>
      </c>
      <c r="H57" s="97">
        <f t="shared" si="29"/>
        <v>0</v>
      </c>
      <c r="I57" s="97">
        <f t="shared" si="29"/>
        <v>0</v>
      </c>
      <c r="J57" s="97">
        <f t="shared" si="29"/>
        <v>0</v>
      </c>
      <c r="K57" s="97">
        <f t="shared" si="29"/>
        <v>0</v>
      </c>
      <c r="L57" s="97">
        <f t="shared" si="29"/>
        <v>0</v>
      </c>
      <c r="O57" s="97" t="s">
        <v>173</v>
      </c>
    </row>
    <row r="58" spans="1:22" ht="12.75" customHeight="1" x14ac:dyDescent="0.25">
      <c r="A58" s="97">
        <v>0.13</v>
      </c>
      <c r="B58" s="169" t="s">
        <v>185</v>
      </c>
      <c r="C58" s="97" t="s">
        <v>181</v>
      </c>
      <c r="D58" s="97">
        <f t="shared" ref="D58:L58" si="30">$A$58*D3</f>
        <v>0</v>
      </c>
      <c r="E58" s="97">
        <f t="shared" si="30"/>
        <v>0</v>
      </c>
      <c r="F58" s="97">
        <f t="shared" si="30"/>
        <v>0</v>
      </c>
      <c r="G58" s="97">
        <f t="shared" si="30"/>
        <v>0</v>
      </c>
      <c r="H58" s="97">
        <f t="shared" si="30"/>
        <v>0</v>
      </c>
      <c r="I58" s="97">
        <f t="shared" si="30"/>
        <v>0</v>
      </c>
      <c r="J58" s="97">
        <f t="shared" si="30"/>
        <v>0</v>
      </c>
      <c r="K58" s="97">
        <f t="shared" si="30"/>
        <v>0</v>
      </c>
      <c r="L58" s="97">
        <f t="shared" si="30"/>
        <v>0</v>
      </c>
      <c r="O58" s="115" t="e">
        <f>124/L15</f>
        <v>#DIV/0!</v>
      </c>
      <c r="P58" s="97" t="e">
        <f>O58*L15</f>
        <v>#DIV/0!</v>
      </c>
      <c r="Q58" s="115">
        <f>SUM(D58:L58)</f>
        <v>0</v>
      </c>
    </row>
    <row r="59" spans="1:22" ht="12.75" customHeight="1" x14ac:dyDescent="0.25">
      <c r="B59" s="169" t="s">
        <v>186</v>
      </c>
      <c r="C59" s="97" t="s">
        <v>181</v>
      </c>
      <c r="D59" s="112">
        <f t="shared" ref="D59:L59" si="31">((D30*D11)*1000)/1000000</f>
        <v>0.38196000000000002</v>
      </c>
      <c r="E59" s="112">
        <f t="shared" si="31"/>
        <v>10.9512</v>
      </c>
      <c r="F59" s="112">
        <f t="shared" si="31"/>
        <v>56.971800000000002</v>
      </c>
      <c r="G59" s="112">
        <f t="shared" si="31"/>
        <v>74.808000000000007</v>
      </c>
      <c r="H59" s="112">
        <f t="shared" si="31"/>
        <v>99.982079999999996</v>
      </c>
      <c r="I59" s="112">
        <f t="shared" si="31"/>
        <v>117.72</v>
      </c>
      <c r="J59" s="112">
        <f t="shared" si="31"/>
        <v>138.56832</v>
      </c>
      <c r="K59" s="112">
        <f t="shared" si="31"/>
        <v>162.16200000000001</v>
      </c>
      <c r="L59" s="112">
        <f t="shared" si="31"/>
        <v>184.88087999999999</v>
      </c>
      <c r="M59" s="112"/>
      <c r="N59" s="112"/>
      <c r="Q59" s="115">
        <f>SUM(D59:L59)</f>
        <v>846.42624000000001</v>
      </c>
    </row>
    <row r="60" spans="1:22" ht="12.75" customHeight="1" x14ac:dyDescent="0.25">
      <c r="B60" s="169" t="s">
        <v>187</v>
      </c>
      <c r="C60" s="97" t="s">
        <v>181</v>
      </c>
      <c r="D60" s="112">
        <f t="shared" ref="D60:L60" si="32">((D29*1000)*D11)/1000000</f>
        <v>0</v>
      </c>
      <c r="E60" s="112">
        <f t="shared" si="32"/>
        <v>0</v>
      </c>
      <c r="F60" s="112">
        <f t="shared" si="32"/>
        <v>0</v>
      </c>
      <c r="G60" s="112">
        <f t="shared" si="32"/>
        <v>0</v>
      </c>
      <c r="H60" s="112">
        <f t="shared" si="32"/>
        <v>0</v>
      </c>
      <c r="I60" s="112">
        <f t="shared" si="32"/>
        <v>0</v>
      </c>
      <c r="J60" s="112">
        <f t="shared" si="32"/>
        <v>0</v>
      </c>
      <c r="K60" s="112">
        <f t="shared" si="32"/>
        <v>0</v>
      </c>
      <c r="L60" s="112">
        <f t="shared" si="32"/>
        <v>0</v>
      </c>
      <c r="M60" s="112"/>
      <c r="N60" s="112"/>
      <c r="Q60" s="115">
        <f>SUM(D60:L60)</f>
        <v>0</v>
      </c>
    </row>
    <row r="61" spans="1:22" ht="12.75" customHeight="1" x14ac:dyDescent="0.25">
      <c r="A61" s="97" t="s">
        <v>227</v>
      </c>
      <c r="B61" s="130" t="s">
        <v>189</v>
      </c>
      <c r="C61" s="97" t="s">
        <v>7</v>
      </c>
      <c r="D61" s="143"/>
      <c r="E61" s="143"/>
      <c r="F61" s="143"/>
      <c r="G61" s="143"/>
      <c r="H61" s="143"/>
      <c r="I61" s="143"/>
      <c r="J61" s="143"/>
      <c r="K61" s="143"/>
      <c r="L61" s="143"/>
      <c r="M61" s="143"/>
      <c r="N61" s="143"/>
    </row>
    <row r="62" spans="1:22" ht="12.75" customHeight="1" x14ac:dyDescent="0.25">
      <c r="A62" s="112">
        <f>abitabelid!D33</f>
        <v>848392</v>
      </c>
      <c r="B62" s="169" t="s">
        <v>190</v>
      </c>
      <c r="C62" s="143" t="s">
        <v>181</v>
      </c>
      <c r="D62" s="144">
        <f t="shared" ref="D62:L62" si="33">($A$62*D4)/1000000</f>
        <v>0.84839200000000003</v>
      </c>
      <c r="E62" s="144">
        <f t="shared" si="33"/>
        <v>0</v>
      </c>
      <c r="F62" s="144">
        <f t="shared" si="33"/>
        <v>0</v>
      </c>
      <c r="G62" s="144">
        <f t="shared" si="33"/>
        <v>0</v>
      </c>
      <c r="H62" s="144">
        <f t="shared" si="33"/>
        <v>0</v>
      </c>
      <c r="I62" s="144">
        <f t="shared" si="33"/>
        <v>0</v>
      </c>
      <c r="J62" s="144">
        <f t="shared" si="33"/>
        <v>0</v>
      </c>
      <c r="K62" s="144">
        <f t="shared" si="33"/>
        <v>0</v>
      </c>
      <c r="L62" s="144">
        <f t="shared" si="33"/>
        <v>0</v>
      </c>
      <c r="M62" s="144"/>
      <c r="N62" s="144"/>
      <c r="O62" s="144">
        <f>SUM(D62:L62)</f>
        <v>0.84839200000000003</v>
      </c>
    </row>
    <row r="63" spans="1:22" ht="12.75" customHeight="1" x14ac:dyDescent="0.25">
      <c r="A63" s="112">
        <f>abitabelid!D30</f>
        <v>2827440</v>
      </c>
      <c r="B63" s="169" t="s">
        <v>192</v>
      </c>
      <c r="C63" s="97" t="s">
        <v>181</v>
      </c>
      <c r="D63" s="144">
        <f t="shared" ref="D63:L63" si="34">($A$63*D4)/1000000</f>
        <v>2.8274400000000002</v>
      </c>
      <c r="E63" s="144">
        <f t="shared" si="34"/>
        <v>0</v>
      </c>
      <c r="F63" s="144">
        <f t="shared" si="34"/>
        <v>0</v>
      </c>
      <c r="G63" s="144">
        <f t="shared" si="34"/>
        <v>0</v>
      </c>
      <c r="H63" s="144">
        <f t="shared" si="34"/>
        <v>0</v>
      </c>
      <c r="I63" s="144">
        <f t="shared" si="34"/>
        <v>0</v>
      </c>
      <c r="J63" s="144">
        <f t="shared" si="34"/>
        <v>0</v>
      </c>
      <c r="K63" s="144">
        <f t="shared" si="34"/>
        <v>0</v>
      </c>
      <c r="L63" s="144">
        <f t="shared" si="34"/>
        <v>0</v>
      </c>
      <c r="M63" s="144"/>
      <c r="N63" s="144"/>
      <c r="O63" s="112">
        <f>SUM(D63:L63)</f>
        <v>2.8274400000000002</v>
      </c>
    </row>
    <row r="64" spans="1:22" ht="12.75" customHeight="1" x14ac:dyDescent="0.25">
      <c r="A64" s="112">
        <f>abitabelid!D36</f>
        <v>500000</v>
      </c>
      <c r="B64" s="169" t="s">
        <v>193</v>
      </c>
      <c r="C64" s="97" t="s">
        <v>181</v>
      </c>
      <c r="D64" s="112">
        <f t="shared" ref="D64:L64" si="35">($A$64*D4)/1000000</f>
        <v>0.5</v>
      </c>
      <c r="E64" s="112">
        <f t="shared" si="35"/>
        <v>0</v>
      </c>
      <c r="F64" s="112">
        <f t="shared" si="35"/>
        <v>0</v>
      </c>
      <c r="G64" s="112">
        <f t="shared" si="35"/>
        <v>0</v>
      </c>
      <c r="H64" s="112">
        <f t="shared" si="35"/>
        <v>0</v>
      </c>
      <c r="I64" s="112">
        <f t="shared" si="35"/>
        <v>0</v>
      </c>
      <c r="J64" s="112">
        <f t="shared" si="35"/>
        <v>0</v>
      </c>
      <c r="K64" s="112">
        <f t="shared" si="35"/>
        <v>0</v>
      </c>
      <c r="L64" s="112">
        <f t="shared" si="35"/>
        <v>0</v>
      </c>
      <c r="M64" s="112"/>
      <c r="N64" s="112"/>
      <c r="O64" s="112">
        <f>SUM(D64:L64)</f>
        <v>0.5</v>
      </c>
    </row>
    <row r="65" spans="1:19" ht="12.75" customHeight="1" x14ac:dyDescent="0.25">
      <c r="A65" s="115">
        <f>abitabelid!D48</f>
        <v>369940.17094017094</v>
      </c>
      <c r="B65" s="169" t="s">
        <v>194</v>
      </c>
      <c r="C65" s="97" t="s">
        <v>181</v>
      </c>
      <c r="D65" s="112">
        <f t="shared" ref="D65:L65" si="36">($A$65*D4)/1000000</f>
        <v>0.36994017094017095</v>
      </c>
      <c r="E65" s="112">
        <f t="shared" si="36"/>
        <v>0</v>
      </c>
      <c r="F65" s="112">
        <f t="shared" si="36"/>
        <v>0</v>
      </c>
      <c r="G65" s="112">
        <f t="shared" si="36"/>
        <v>0</v>
      </c>
      <c r="H65" s="112">
        <f t="shared" si="36"/>
        <v>0</v>
      </c>
      <c r="I65" s="112">
        <f t="shared" si="36"/>
        <v>0</v>
      </c>
      <c r="J65" s="112">
        <f t="shared" si="36"/>
        <v>0</v>
      </c>
      <c r="K65" s="112">
        <f t="shared" si="36"/>
        <v>0</v>
      </c>
      <c r="L65" s="112">
        <f t="shared" si="36"/>
        <v>0</v>
      </c>
      <c r="M65" s="112"/>
      <c r="N65" s="112"/>
      <c r="O65" s="112">
        <f>SUM(D65:L65)</f>
        <v>0.36994017094017095</v>
      </c>
    </row>
    <row r="66" spans="1:19" ht="12.75" hidden="1" customHeight="1" x14ac:dyDescent="0.25">
      <c r="O66" s="133">
        <f>SUM(O62:O65)</f>
        <v>4.5457721709401708</v>
      </c>
      <c r="P66" s="119"/>
      <c r="Q66" s="119"/>
      <c r="R66" s="119"/>
      <c r="S66" s="119"/>
    </row>
    <row r="67" spans="1:19" ht="12.75" hidden="1" customHeight="1" x14ac:dyDescent="0.25">
      <c r="A67" s="115">
        <f>6/1.28205</f>
        <v>4.6800046800046804</v>
      </c>
      <c r="B67" s="97" t="s">
        <v>7</v>
      </c>
      <c r="C67" s="97" t="s">
        <v>7</v>
      </c>
    </row>
    <row r="68" spans="1:19" ht="12.75" hidden="1" customHeight="1" x14ac:dyDescent="0.25">
      <c r="A68" s="115">
        <f>(A62+A63)/1000000</f>
        <v>3.6758320000000002</v>
      </c>
      <c r="B68" s="97" t="s">
        <v>7</v>
      </c>
      <c r="C68" s="97" t="s">
        <v>7</v>
      </c>
    </row>
    <row r="69" spans="1:19" ht="12.75" hidden="1" customHeight="1" x14ac:dyDescent="0.25">
      <c r="A69" s="115">
        <f>SUM(A62:A65)/1000000</f>
        <v>4.5457721709401708</v>
      </c>
      <c r="B69" s="97" t="s">
        <v>7</v>
      </c>
      <c r="C69" s="97" t="s">
        <v>7</v>
      </c>
    </row>
    <row r="70" spans="1:19" ht="12.75" hidden="1" customHeight="1" x14ac:dyDescent="0.25">
      <c r="B70" s="97" t="s">
        <v>7</v>
      </c>
      <c r="C70" s="97" t="s">
        <v>7</v>
      </c>
    </row>
    <row r="71" spans="1:19" ht="12.75" customHeight="1" x14ac:dyDescent="0.25">
      <c r="B71" s="130" t="s">
        <v>195</v>
      </c>
    </row>
    <row r="72" spans="1:19" ht="12.75" customHeight="1" x14ac:dyDescent="0.25">
      <c r="A72" s="97" t="s">
        <v>199</v>
      </c>
      <c r="B72" s="169" t="s">
        <v>200</v>
      </c>
      <c r="C72" s="97" t="s">
        <v>201</v>
      </c>
      <c r="D72" s="115">
        <f t="shared" ref="D72:L72" si="37">D3/$P$73</f>
        <v>0</v>
      </c>
      <c r="E72" s="115">
        <f t="shared" si="37"/>
        <v>0</v>
      </c>
      <c r="F72" s="115">
        <f t="shared" si="37"/>
        <v>0</v>
      </c>
      <c r="G72" s="115">
        <f t="shared" si="37"/>
        <v>0</v>
      </c>
      <c r="H72" s="115">
        <f t="shared" si="37"/>
        <v>0</v>
      </c>
      <c r="I72" s="115">
        <f t="shared" si="37"/>
        <v>0</v>
      </c>
      <c r="J72" s="115">
        <f t="shared" si="37"/>
        <v>0</v>
      </c>
      <c r="K72" s="115">
        <f t="shared" si="37"/>
        <v>0</v>
      </c>
      <c r="L72" s="115">
        <f t="shared" si="37"/>
        <v>0</v>
      </c>
      <c r="M72" s="115"/>
      <c r="N72" s="115"/>
      <c r="P72" s="97" t="s">
        <v>228</v>
      </c>
    </row>
    <row r="73" spans="1:19" ht="12.75" customHeight="1" x14ac:dyDescent="0.25">
      <c r="A73" s="107">
        <f>abitabelid!F66</f>
        <v>1255.5000030718379</v>
      </c>
      <c r="B73" s="169" t="s">
        <v>202</v>
      </c>
      <c r="C73" s="97" t="s">
        <v>196</v>
      </c>
      <c r="D73" s="107">
        <f t="shared" ref="D73:L73" si="38">(D72*1000000)/$A$73</f>
        <v>0</v>
      </c>
      <c r="E73" s="107">
        <f t="shared" si="38"/>
        <v>0</v>
      </c>
      <c r="F73" s="107">
        <f t="shared" si="38"/>
        <v>0</v>
      </c>
      <c r="G73" s="107">
        <f t="shared" si="38"/>
        <v>0</v>
      </c>
      <c r="H73" s="107">
        <f t="shared" si="38"/>
        <v>0</v>
      </c>
      <c r="I73" s="107">
        <f t="shared" si="38"/>
        <v>0</v>
      </c>
      <c r="J73" s="107">
        <f t="shared" si="38"/>
        <v>0</v>
      </c>
      <c r="K73" s="107">
        <f t="shared" si="38"/>
        <v>0</v>
      </c>
      <c r="L73" s="107">
        <f t="shared" si="38"/>
        <v>0</v>
      </c>
      <c r="M73" s="107"/>
      <c r="N73" s="107"/>
      <c r="P73" s="115">
        <v>3.63</v>
      </c>
    </row>
    <row r="74" spans="1:19" ht="12.75" customHeight="1" x14ac:dyDescent="0.25">
      <c r="B74" s="169" t="s">
        <v>203</v>
      </c>
      <c r="C74" s="97" t="s">
        <v>196</v>
      </c>
      <c r="D74" s="107">
        <f t="shared" ref="D74:L74" si="39">((D3/$P$74)*1000000)/$A$73</f>
        <v>0</v>
      </c>
      <c r="E74" s="107">
        <f t="shared" si="39"/>
        <v>0</v>
      </c>
      <c r="F74" s="107">
        <f t="shared" si="39"/>
        <v>0</v>
      </c>
      <c r="G74" s="107">
        <f t="shared" si="39"/>
        <v>0</v>
      </c>
      <c r="H74" s="107">
        <f t="shared" si="39"/>
        <v>0</v>
      </c>
      <c r="I74" s="107">
        <f t="shared" si="39"/>
        <v>0</v>
      </c>
      <c r="J74" s="107">
        <f t="shared" si="39"/>
        <v>0</v>
      </c>
      <c r="K74" s="107">
        <f t="shared" si="39"/>
        <v>0</v>
      </c>
      <c r="L74" s="135">
        <f t="shared" si="39"/>
        <v>0</v>
      </c>
      <c r="M74" s="145"/>
      <c r="N74" s="145"/>
      <c r="O74" s="137" t="s">
        <v>7</v>
      </c>
      <c r="P74" s="115">
        <v>3.07</v>
      </c>
    </row>
    <row r="75" spans="1:19" ht="12.75" customHeight="1" x14ac:dyDescent="0.25">
      <c r="A75" s="97">
        <f>abitabelid!L69</f>
        <v>578.33999999999992</v>
      </c>
      <c r="B75" s="169" t="s">
        <v>204</v>
      </c>
      <c r="C75" s="97" t="s">
        <v>196</v>
      </c>
      <c r="D75" s="107">
        <f t="shared" ref="D75:L75" si="40">((D3/$P$75)*1000000)/$A$75</f>
        <v>0</v>
      </c>
      <c r="E75" s="107">
        <f t="shared" si="40"/>
        <v>0</v>
      </c>
      <c r="F75" s="107">
        <f t="shared" si="40"/>
        <v>0</v>
      </c>
      <c r="G75" s="107">
        <f t="shared" si="40"/>
        <v>0</v>
      </c>
      <c r="H75" s="107">
        <f t="shared" si="40"/>
        <v>0</v>
      </c>
      <c r="I75" s="107">
        <f t="shared" si="40"/>
        <v>0</v>
      </c>
      <c r="J75" s="107">
        <f t="shared" si="40"/>
        <v>0</v>
      </c>
      <c r="K75" s="107">
        <f t="shared" si="40"/>
        <v>0</v>
      </c>
      <c r="L75" s="107">
        <f t="shared" si="40"/>
        <v>0</v>
      </c>
      <c r="M75" s="107"/>
      <c r="N75" s="107"/>
      <c r="O75" s="112" t="s">
        <v>7</v>
      </c>
      <c r="P75" s="115">
        <v>25.65</v>
      </c>
    </row>
    <row r="76" spans="1:19" ht="12.75" customHeight="1" x14ac:dyDescent="0.25">
      <c r="B76" s="169" t="s">
        <v>205</v>
      </c>
      <c r="C76" s="97" t="s">
        <v>196</v>
      </c>
      <c r="D76" s="107">
        <f t="shared" ref="D76:L76" si="41">((D3/$P$76)*1000000)/$A$73</f>
        <v>0</v>
      </c>
      <c r="E76" s="107">
        <f t="shared" si="41"/>
        <v>0</v>
      </c>
      <c r="F76" s="107">
        <f t="shared" si="41"/>
        <v>0</v>
      </c>
      <c r="G76" s="107">
        <f t="shared" si="41"/>
        <v>0</v>
      </c>
      <c r="H76" s="107">
        <f t="shared" si="41"/>
        <v>0</v>
      </c>
      <c r="I76" s="107">
        <f t="shared" si="41"/>
        <v>0</v>
      </c>
      <c r="J76" s="107">
        <f t="shared" si="41"/>
        <v>0</v>
      </c>
      <c r="K76" s="107">
        <f t="shared" si="41"/>
        <v>0</v>
      </c>
      <c r="L76" s="107">
        <f t="shared" si="41"/>
        <v>0</v>
      </c>
      <c r="M76" s="107"/>
      <c r="N76" s="107"/>
      <c r="O76" s="112" t="s">
        <v>7</v>
      </c>
      <c r="P76" s="115">
        <v>5.48</v>
      </c>
    </row>
    <row r="77" spans="1:19" ht="12.75" customHeight="1" x14ac:dyDescent="0.25">
      <c r="B77" s="169"/>
      <c r="P77" s="97" t="s">
        <v>7</v>
      </c>
    </row>
    <row r="78" spans="1:19" ht="12.75" customHeight="1" x14ac:dyDescent="0.25">
      <c r="A78" s="138">
        <f>abitabelid!C158</f>
        <v>1.9038130387644455E-2</v>
      </c>
      <c r="B78" s="169" t="s">
        <v>206</v>
      </c>
      <c r="C78" s="97" t="s">
        <v>166</v>
      </c>
      <c r="D78" s="115">
        <f t="shared" ref="D78:L78" si="42">$A$78*D3</f>
        <v>0</v>
      </c>
      <c r="E78" s="115">
        <f t="shared" si="42"/>
        <v>0</v>
      </c>
      <c r="F78" s="115">
        <f t="shared" si="42"/>
        <v>0</v>
      </c>
      <c r="G78" s="115">
        <f t="shared" si="42"/>
        <v>0</v>
      </c>
      <c r="H78" s="115">
        <f t="shared" si="42"/>
        <v>0</v>
      </c>
      <c r="I78" s="115">
        <f t="shared" si="42"/>
        <v>0</v>
      </c>
      <c r="J78" s="115">
        <f t="shared" si="42"/>
        <v>0</v>
      </c>
      <c r="K78" s="115">
        <f t="shared" si="42"/>
        <v>0</v>
      </c>
      <c r="L78" s="115">
        <f t="shared" si="42"/>
        <v>0</v>
      </c>
      <c r="M78" s="115"/>
      <c r="N78" s="115"/>
    </row>
    <row r="79" spans="1:19" ht="12.75" customHeight="1" x14ac:dyDescent="0.25">
      <c r="A79" s="115">
        <f>-abitabelid!B154</f>
        <v>-2851.1502916693971</v>
      </c>
      <c r="B79" s="169" t="s">
        <v>208</v>
      </c>
      <c r="C79" s="97" t="s">
        <v>209</v>
      </c>
      <c r="D79" s="107">
        <f t="shared" ref="D79:L79" si="43">$A$79*D3</f>
        <v>0</v>
      </c>
      <c r="E79" s="107">
        <f t="shared" si="43"/>
        <v>0</v>
      </c>
      <c r="F79" s="107">
        <f t="shared" si="43"/>
        <v>0</v>
      </c>
      <c r="G79" s="107">
        <f t="shared" si="43"/>
        <v>0</v>
      </c>
      <c r="H79" s="107">
        <f t="shared" si="43"/>
        <v>0</v>
      </c>
      <c r="I79" s="107">
        <f t="shared" si="43"/>
        <v>0</v>
      </c>
      <c r="J79" s="107">
        <f t="shared" si="43"/>
        <v>0</v>
      </c>
      <c r="K79" s="107">
        <f t="shared" si="43"/>
        <v>0</v>
      </c>
      <c r="L79" s="107">
        <f t="shared" si="43"/>
        <v>0</v>
      </c>
      <c r="M79" s="107"/>
      <c r="N79" s="107"/>
    </row>
    <row r="80" spans="1:19" ht="12.75" customHeight="1" x14ac:dyDescent="0.25">
      <c r="A80" s="97">
        <f>abitabelid!F154</f>
        <v>1568.1326604181686</v>
      </c>
      <c r="B80" s="169" t="s">
        <v>7</v>
      </c>
      <c r="E80" s="107">
        <f t="shared" ref="E80:L80" si="44">$A$80*E3</f>
        <v>0</v>
      </c>
      <c r="F80" s="107">
        <f t="shared" si="44"/>
        <v>0</v>
      </c>
      <c r="G80" s="107">
        <f t="shared" si="44"/>
        <v>0</v>
      </c>
      <c r="H80" s="107">
        <f t="shared" si="44"/>
        <v>0</v>
      </c>
      <c r="I80" s="107">
        <f t="shared" si="44"/>
        <v>0</v>
      </c>
      <c r="J80" s="107">
        <f t="shared" si="44"/>
        <v>0</v>
      </c>
      <c r="K80" s="107">
        <f t="shared" si="44"/>
        <v>0</v>
      </c>
      <c r="L80" s="107">
        <f t="shared" si="44"/>
        <v>0</v>
      </c>
      <c r="M80" s="107"/>
      <c r="N80" s="107"/>
    </row>
    <row r="81" spans="1:17" ht="12.75" customHeight="1" x14ac:dyDescent="0.25">
      <c r="A81" s="97" t="s">
        <v>211</v>
      </c>
      <c r="B81" s="169"/>
    </row>
    <row r="82" spans="1:17" ht="12.75" customHeight="1" x14ac:dyDescent="0.25">
      <c r="A82" s="97">
        <f>abitabelid!B177</f>
        <v>83.8</v>
      </c>
      <c r="B82" s="169" t="s">
        <v>212</v>
      </c>
      <c r="C82" s="97" t="s">
        <v>65</v>
      </c>
      <c r="D82" s="97">
        <f>'kütuste tarbimine EE'!C6+'kütuste tarbimine EE'!C7</f>
        <v>29658</v>
      </c>
      <c r="E82" s="97">
        <f>'kütuste tarbimine EE'!D6+'kütuste tarbimine EE'!D7</f>
        <v>30505.144790424099</v>
      </c>
      <c r="F82" s="97">
        <f>'kütuste tarbimine EE'!E6+'kütuste tarbimine EE'!E7</f>
        <v>26790.915284128507</v>
      </c>
      <c r="G82" s="97">
        <f>'kütuste tarbimine EE'!F6+'kütuste tarbimine EE'!F7</f>
        <v>22257.868043989209</v>
      </c>
      <c r="H82" s="97">
        <f>'kütuste tarbimine EE'!G6+'kütuste tarbimine EE'!G7</f>
        <v>17724.820803849914</v>
      </c>
      <c r="I82" s="97">
        <f>'kütuste tarbimine EE'!H6+'kütuste tarbimine EE'!H7</f>
        <v>14811.297539860303</v>
      </c>
      <c r="J82" s="97">
        <f>'kütuste tarbimine EE'!I6+'kütuste tarbimine EE'!I7</f>
        <v>11897.774275870692</v>
      </c>
      <c r="K82" s="97">
        <f>'kütuste tarbimine EE'!J6+'kütuste tarbimine EE'!J7</f>
        <v>10441.012643875889</v>
      </c>
      <c r="L82" s="97">
        <f>'kütuste tarbimine EE'!K6+'kütuste tarbimine EE'!K7</f>
        <v>6070.727747891473</v>
      </c>
    </row>
    <row r="83" spans="1:17" ht="12.75" customHeight="1" x14ac:dyDescent="0.25">
      <c r="A83" s="97" t="s">
        <v>7</v>
      </c>
      <c r="B83" s="169" t="s">
        <v>213</v>
      </c>
      <c r="C83" s="97" t="s">
        <v>214</v>
      </c>
      <c r="D83" s="112">
        <f t="shared" ref="D83:L83" si="45">D82*$A$82</f>
        <v>2485340.4</v>
      </c>
      <c r="E83" s="112">
        <f t="shared" si="45"/>
        <v>2556331.1334375395</v>
      </c>
      <c r="F83" s="112">
        <f t="shared" si="45"/>
        <v>2245078.7008099686</v>
      </c>
      <c r="G83" s="112">
        <f t="shared" si="45"/>
        <v>1865209.3420862956</v>
      </c>
      <c r="H83" s="112">
        <f t="shared" si="45"/>
        <v>1485339.9833626228</v>
      </c>
      <c r="I83" s="112">
        <f t="shared" si="45"/>
        <v>1241186.7338402933</v>
      </c>
      <c r="J83" s="112">
        <f t="shared" si="45"/>
        <v>997033.48431796394</v>
      </c>
      <c r="K83" s="112">
        <f t="shared" si="45"/>
        <v>874956.85955679941</v>
      </c>
      <c r="L83" s="112">
        <f t="shared" si="45"/>
        <v>508726.98527330544</v>
      </c>
      <c r="M83" s="112"/>
      <c r="N83" s="112"/>
    </row>
    <row r="84" spans="1:17" ht="12.75" customHeight="1" x14ac:dyDescent="0.25">
      <c r="A84" s="139">
        <f>abitabelid!B178</f>
        <v>18</v>
      </c>
      <c r="B84" s="189" t="s">
        <v>215</v>
      </c>
      <c r="C84" s="140" t="s">
        <v>214</v>
      </c>
      <c r="D84" s="141">
        <f>$A$84*D17</f>
        <v>0</v>
      </c>
      <c r="E84" s="141">
        <f t="shared" ref="E84:L84" si="46">$A$84*E17</f>
        <v>0</v>
      </c>
      <c r="F84" s="141">
        <f t="shared" si="46"/>
        <v>0</v>
      </c>
      <c r="G84" s="141">
        <f t="shared" si="46"/>
        <v>0</v>
      </c>
      <c r="H84" s="141">
        <f t="shared" si="46"/>
        <v>0</v>
      </c>
      <c r="I84" s="141">
        <f t="shared" si="46"/>
        <v>0</v>
      </c>
      <c r="J84" s="141">
        <f t="shared" si="46"/>
        <v>0</v>
      </c>
      <c r="K84" s="141">
        <f t="shared" si="46"/>
        <v>0</v>
      </c>
      <c r="L84" s="141">
        <f t="shared" si="46"/>
        <v>0</v>
      </c>
      <c r="M84" s="141"/>
      <c r="N84" s="141"/>
      <c r="O84" s="97" t="s">
        <v>7</v>
      </c>
      <c r="P84" s="97" t="s">
        <v>7</v>
      </c>
      <c r="Q84" s="97" t="s">
        <v>7</v>
      </c>
    </row>
    <row r="85" spans="1:17" ht="12.75" customHeight="1" x14ac:dyDescent="0.25">
      <c r="A85" s="97" t="s">
        <v>7</v>
      </c>
      <c r="D85" s="97" t="s">
        <v>7</v>
      </c>
      <c r="E85" s="97">
        <f>((E3*10)*3.6)*A84</f>
        <v>0</v>
      </c>
    </row>
    <row r="86" spans="1:17" ht="12.75" customHeight="1" x14ac:dyDescent="0.25">
      <c r="O86" s="107" t="s">
        <v>7</v>
      </c>
      <c r="P86" s="115" t="s">
        <v>7</v>
      </c>
      <c r="Q86" s="107" t="s">
        <v>229</v>
      </c>
    </row>
    <row r="87" spans="1:17" ht="12.75" customHeight="1" x14ac:dyDescent="0.3">
      <c r="B87" s="181"/>
      <c r="C87" s="90" t="s">
        <v>143</v>
      </c>
      <c r="D87" s="90"/>
      <c r="E87" s="90">
        <v>2015</v>
      </c>
      <c r="F87" s="90">
        <v>2020</v>
      </c>
      <c r="G87" s="90">
        <v>2025</v>
      </c>
      <c r="H87" s="90">
        <v>2030</v>
      </c>
      <c r="I87" s="90">
        <v>2035</v>
      </c>
      <c r="J87" s="90">
        <v>2040</v>
      </c>
      <c r="K87" s="90">
        <v>2045</v>
      </c>
      <c r="L87" s="90">
        <v>2050</v>
      </c>
      <c r="M87" s="98"/>
      <c r="O87" s="107" t="s">
        <v>7</v>
      </c>
      <c r="P87" s="115" t="s">
        <v>7</v>
      </c>
      <c r="Q87" s="112" t="s">
        <v>7</v>
      </c>
    </row>
    <row r="88" spans="1:17" ht="12.75" customHeight="1" x14ac:dyDescent="0.3">
      <c r="B88" s="182" t="s">
        <v>609</v>
      </c>
      <c r="C88" s="92" t="s">
        <v>65</v>
      </c>
      <c r="D88" s="166"/>
      <c r="E88" s="166">
        <f t="shared" ref="E88:L88" si="47">E51*1000</f>
        <v>381.76069638469636</v>
      </c>
      <c r="F88" s="166">
        <f t="shared" si="47"/>
        <v>1972.4302646542646</v>
      </c>
      <c r="G88" s="166">
        <f t="shared" si="47"/>
        <v>2545.071309231309</v>
      </c>
      <c r="H88" s="166">
        <f t="shared" si="47"/>
        <v>3346.7687716391715</v>
      </c>
      <c r="I88" s="166">
        <f t="shared" si="47"/>
        <v>3817.6069638469639</v>
      </c>
      <c r="J88" s="166">
        <f t="shared" si="47"/>
        <v>4123.0155209547211</v>
      </c>
      <c r="K88" s="166">
        <f t="shared" si="47"/>
        <v>4453.8747911547907</v>
      </c>
      <c r="L88" s="166">
        <f t="shared" si="47"/>
        <v>4718.5622073148479</v>
      </c>
      <c r="M88" s="98"/>
      <c r="O88" s="107" t="s">
        <v>7</v>
      </c>
      <c r="P88" s="115" t="s">
        <v>7</v>
      </c>
      <c r="Q88" s="112" t="s">
        <v>7</v>
      </c>
    </row>
    <row r="89" spans="1:17" ht="12.75" customHeight="1" x14ac:dyDescent="0.3">
      <c r="B89" s="183" t="s">
        <v>610</v>
      </c>
      <c r="C89" s="92" t="s">
        <v>181</v>
      </c>
      <c r="D89" s="92"/>
      <c r="E89" s="92">
        <f t="shared" ref="E89:L89" si="48">SUM(E90:E95)</f>
        <v>0</v>
      </c>
      <c r="F89" s="92">
        <f t="shared" si="48"/>
        <v>0</v>
      </c>
      <c r="G89" s="92">
        <f t="shared" si="48"/>
        <v>0</v>
      </c>
      <c r="H89" s="92">
        <f t="shared" si="48"/>
        <v>0</v>
      </c>
      <c r="I89" s="92">
        <f t="shared" si="48"/>
        <v>0</v>
      </c>
      <c r="J89" s="92">
        <f t="shared" si="48"/>
        <v>0</v>
      </c>
      <c r="K89" s="92">
        <f t="shared" si="48"/>
        <v>0</v>
      </c>
      <c r="L89" s="92">
        <f t="shared" si="48"/>
        <v>0</v>
      </c>
      <c r="M89" s="98"/>
      <c r="O89" s="107" t="s">
        <v>7</v>
      </c>
      <c r="P89" s="115" t="s">
        <v>7</v>
      </c>
      <c r="Q89" s="112" t="s">
        <v>7</v>
      </c>
    </row>
    <row r="90" spans="1:17" ht="12.75" customHeight="1" x14ac:dyDescent="0.3">
      <c r="B90" s="93" t="s">
        <v>736</v>
      </c>
      <c r="C90" s="92" t="s">
        <v>181</v>
      </c>
      <c r="D90" s="92"/>
      <c r="E90" s="92">
        <f>E54</f>
        <v>0</v>
      </c>
      <c r="F90" s="92">
        <f t="shared" ref="F90:L90" si="49">F54</f>
        <v>0</v>
      </c>
      <c r="G90" s="92">
        <f t="shared" si="49"/>
        <v>0</v>
      </c>
      <c r="H90" s="92">
        <f t="shared" si="49"/>
        <v>0</v>
      </c>
      <c r="I90" s="92">
        <f t="shared" si="49"/>
        <v>0</v>
      </c>
      <c r="J90" s="92">
        <f t="shared" si="49"/>
        <v>0</v>
      </c>
      <c r="K90" s="92">
        <f t="shared" si="49"/>
        <v>0</v>
      </c>
      <c r="L90" s="92">
        <f t="shared" si="49"/>
        <v>0</v>
      </c>
      <c r="M90" s="98"/>
    </row>
    <row r="91" spans="1:17" ht="12.75" customHeight="1" x14ac:dyDescent="0.3">
      <c r="B91" s="93" t="s">
        <v>590</v>
      </c>
      <c r="C91" s="92" t="s">
        <v>181</v>
      </c>
      <c r="D91" s="92"/>
      <c r="E91" s="92">
        <f t="shared" ref="E91:L94" si="50">E55</f>
        <v>0</v>
      </c>
      <c r="F91" s="92">
        <f t="shared" si="50"/>
        <v>0</v>
      </c>
      <c r="G91" s="92">
        <f t="shared" si="50"/>
        <v>0</v>
      </c>
      <c r="H91" s="92">
        <f t="shared" si="50"/>
        <v>0</v>
      </c>
      <c r="I91" s="92">
        <f t="shared" si="50"/>
        <v>0</v>
      </c>
      <c r="J91" s="92">
        <f t="shared" si="50"/>
        <v>0</v>
      </c>
      <c r="K91" s="92">
        <f t="shared" si="50"/>
        <v>0</v>
      </c>
      <c r="L91" s="92">
        <f t="shared" si="50"/>
        <v>0</v>
      </c>
      <c r="M91" s="98"/>
      <c r="O91" s="115" t="s">
        <v>7</v>
      </c>
      <c r="P91" s="97" t="s">
        <v>7</v>
      </c>
    </row>
    <row r="92" spans="1:17" ht="12.75" customHeight="1" x14ac:dyDescent="0.3">
      <c r="B92" s="93" t="s">
        <v>737</v>
      </c>
      <c r="C92" s="92" t="s">
        <v>181</v>
      </c>
      <c r="D92" s="92"/>
      <c r="E92" s="92">
        <f t="shared" si="50"/>
        <v>0</v>
      </c>
      <c r="F92" s="92">
        <f t="shared" si="50"/>
        <v>0</v>
      </c>
      <c r="G92" s="92">
        <f t="shared" si="50"/>
        <v>0</v>
      </c>
      <c r="H92" s="92">
        <f t="shared" si="50"/>
        <v>0</v>
      </c>
      <c r="I92" s="92">
        <f t="shared" si="50"/>
        <v>0</v>
      </c>
      <c r="J92" s="92">
        <f t="shared" si="50"/>
        <v>0</v>
      </c>
      <c r="K92" s="92">
        <f t="shared" si="50"/>
        <v>0</v>
      </c>
      <c r="L92" s="92">
        <f t="shared" si="50"/>
        <v>0</v>
      </c>
      <c r="M92" s="98"/>
      <c r="P92" s="97" t="s">
        <v>7</v>
      </c>
    </row>
    <row r="93" spans="1:17" ht="12.75" customHeight="1" x14ac:dyDescent="0.3">
      <c r="B93" s="93" t="s">
        <v>738</v>
      </c>
      <c r="C93" s="92" t="s">
        <v>181</v>
      </c>
      <c r="D93" s="92"/>
      <c r="E93" s="92">
        <f t="shared" si="50"/>
        <v>0</v>
      </c>
      <c r="F93" s="92">
        <f t="shared" si="50"/>
        <v>0</v>
      </c>
      <c r="G93" s="92">
        <f t="shared" si="50"/>
        <v>0</v>
      </c>
      <c r="H93" s="92">
        <f t="shared" si="50"/>
        <v>0</v>
      </c>
      <c r="I93" s="92">
        <f t="shared" si="50"/>
        <v>0</v>
      </c>
      <c r="J93" s="92">
        <f t="shared" si="50"/>
        <v>0</v>
      </c>
      <c r="K93" s="92">
        <f t="shared" si="50"/>
        <v>0</v>
      </c>
      <c r="L93" s="92">
        <f t="shared" si="50"/>
        <v>0</v>
      </c>
      <c r="M93" s="98"/>
    </row>
    <row r="94" spans="1:17" ht="12.75" customHeight="1" x14ac:dyDescent="0.3">
      <c r="B94" s="93" t="s">
        <v>628</v>
      </c>
      <c r="C94" s="92" t="s">
        <v>181</v>
      </c>
      <c r="D94" s="92"/>
      <c r="E94" s="92">
        <f t="shared" si="50"/>
        <v>0</v>
      </c>
      <c r="F94" s="92">
        <f t="shared" si="50"/>
        <v>0</v>
      </c>
      <c r="G94" s="92">
        <f t="shared" si="50"/>
        <v>0</v>
      </c>
      <c r="H94" s="92">
        <f t="shared" si="50"/>
        <v>0</v>
      </c>
      <c r="I94" s="92">
        <f t="shared" si="50"/>
        <v>0</v>
      </c>
      <c r="J94" s="92">
        <f t="shared" si="50"/>
        <v>0</v>
      </c>
      <c r="K94" s="92">
        <f t="shared" si="50"/>
        <v>0</v>
      </c>
      <c r="L94" s="92">
        <f t="shared" si="50"/>
        <v>0</v>
      </c>
      <c r="M94" s="98"/>
    </row>
    <row r="95" spans="1:17" ht="12.75" customHeight="1" x14ac:dyDescent="0.3">
      <c r="B95" s="257" t="s">
        <v>631</v>
      </c>
      <c r="C95" s="92" t="s">
        <v>181</v>
      </c>
      <c r="D95" s="92"/>
      <c r="E95" s="245"/>
      <c r="F95" s="245"/>
      <c r="G95" s="245"/>
      <c r="H95" s="245"/>
      <c r="I95" s="245"/>
      <c r="J95" s="245"/>
      <c r="K95" s="245"/>
      <c r="L95" s="245"/>
      <c r="M95" s="98"/>
    </row>
    <row r="96" spans="1:17" ht="12.75" customHeight="1" x14ac:dyDescent="0.3">
      <c r="B96" s="182" t="s">
        <v>597</v>
      </c>
      <c r="C96" s="92" t="s">
        <v>181</v>
      </c>
      <c r="D96" s="92"/>
      <c r="E96" s="92">
        <f t="shared" ref="E96:L96" si="51">E78</f>
        <v>0</v>
      </c>
      <c r="F96" s="92">
        <f t="shared" si="51"/>
        <v>0</v>
      </c>
      <c r="G96" s="92">
        <f t="shared" si="51"/>
        <v>0</v>
      </c>
      <c r="H96" s="92">
        <f t="shared" si="51"/>
        <v>0</v>
      </c>
      <c r="I96" s="92">
        <f t="shared" si="51"/>
        <v>0</v>
      </c>
      <c r="J96" s="92">
        <f t="shared" si="51"/>
        <v>0</v>
      </c>
      <c r="K96" s="92">
        <f t="shared" si="51"/>
        <v>0</v>
      </c>
      <c r="L96" s="92">
        <f t="shared" si="51"/>
        <v>0</v>
      </c>
      <c r="M96" s="98" t="s">
        <v>616</v>
      </c>
    </row>
    <row r="97" spans="2:13" ht="12.75" customHeight="1" x14ac:dyDescent="0.3">
      <c r="B97" s="183" t="s">
        <v>611</v>
      </c>
      <c r="C97" s="92" t="s">
        <v>181</v>
      </c>
      <c r="D97" s="92"/>
      <c r="E97" s="92">
        <f>E42</f>
        <v>0</v>
      </c>
      <c r="F97" s="92">
        <f t="shared" ref="F97:L97" si="52">F42</f>
        <v>0</v>
      </c>
      <c r="G97" s="92">
        <f t="shared" si="52"/>
        <v>0</v>
      </c>
      <c r="H97" s="92">
        <f t="shared" si="52"/>
        <v>0</v>
      </c>
      <c r="I97" s="92">
        <f t="shared" si="52"/>
        <v>0</v>
      </c>
      <c r="J97" s="92">
        <f t="shared" si="52"/>
        <v>0</v>
      </c>
      <c r="K97" s="92">
        <f t="shared" si="52"/>
        <v>0</v>
      </c>
      <c r="L97" s="92">
        <f t="shared" si="52"/>
        <v>0</v>
      </c>
      <c r="M97" s="98"/>
    </row>
    <row r="98" spans="2:13" ht="12.75" customHeight="1" x14ac:dyDescent="0.3">
      <c r="B98" s="183" t="s">
        <v>189</v>
      </c>
      <c r="C98" s="92" t="s">
        <v>181</v>
      </c>
      <c r="D98" s="92"/>
      <c r="E98" s="92">
        <f>SUM(E99:E102)</f>
        <v>0</v>
      </c>
      <c r="F98" s="92">
        <f t="shared" ref="F98:L98" si="53">SUM(F99:F102)</f>
        <v>0</v>
      </c>
      <c r="G98" s="92">
        <f t="shared" si="53"/>
        <v>0</v>
      </c>
      <c r="H98" s="92">
        <f t="shared" si="53"/>
        <v>0</v>
      </c>
      <c r="I98" s="92">
        <f t="shared" si="53"/>
        <v>0</v>
      </c>
      <c r="J98" s="92">
        <f t="shared" si="53"/>
        <v>0</v>
      </c>
      <c r="K98" s="92">
        <f t="shared" si="53"/>
        <v>0</v>
      </c>
      <c r="L98" s="92">
        <f t="shared" si="53"/>
        <v>0</v>
      </c>
      <c r="M98" s="98"/>
    </row>
    <row r="99" spans="2:13" ht="12.75" customHeight="1" x14ac:dyDescent="0.3">
      <c r="B99" s="184" t="s">
        <v>190</v>
      </c>
      <c r="C99" s="92" t="s">
        <v>181</v>
      </c>
      <c r="D99" s="92"/>
      <c r="E99" s="92">
        <f>E62</f>
        <v>0</v>
      </c>
      <c r="F99" s="92">
        <f t="shared" ref="F99:L99" si="54">F62</f>
        <v>0</v>
      </c>
      <c r="G99" s="92">
        <f t="shared" si="54"/>
        <v>0</v>
      </c>
      <c r="H99" s="92">
        <f t="shared" si="54"/>
        <v>0</v>
      </c>
      <c r="I99" s="92">
        <f t="shared" si="54"/>
        <v>0</v>
      </c>
      <c r="J99" s="92">
        <f t="shared" si="54"/>
        <v>0</v>
      </c>
      <c r="K99" s="92">
        <f>K62</f>
        <v>0</v>
      </c>
      <c r="L99" s="92">
        <f t="shared" si="54"/>
        <v>0</v>
      </c>
      <c r="M99" s="98"/>
    </row>
    <row r="100" spans="2:13" ht="12.75" customHeight="1" x14ac:dyDescent="0.3">
      <c r="B100" s="184" t="s">
        <v>192</v>
      </c>
      <c r="C100" s="92" t="s">
        <v>181</v>
      </c>
      <c r="D100" s="92"/>
      <c r="E100" s="92">
        <f t="shared" ref="E100:L102" si="55">E63</f>
        <v>0</v>
      </c>
      <c r="F100" s="92">
        <f t="shared" si="55"/>
        <v>0</v>
      </c>
      <c r="G100" s="92">
        <f t="shared" si="55"/>
        <v>0</v>
      </c>
      <c r="H100" s="92">
        <f t="shared" si="55"/>
        <v>0</v>
      </c>
      <c r="I100" s="92">
        <f t="shared" si="55"/>
        <v>0</v>
      </c>
      <c r="J100" s="92">
        <f t="shared" si="55"/>
        <v>0</v>
      </c>
      <c r="K100" s="92">
        <f t="shared" si="55"/>
        <v>0</v>
      </c>
      <c r="L100" s="92">
        <f t="shared" si="55"/>
        <v>0</v>
      </c>
      <c r="M100" s="98"/>
    </row>
    <row r="101" spans="2:13" ht="12.75" customHeight="1" x14ac:dyDescent="0.3">
      <c r="B101" s="184" t="s">
        <v>193</v>
      </c>
      <c r="C101" s="92" t="s">
        <v>181</v>
      </c>
      <c r="D101" s="92"/>
      <c r="E101" s="92">
        <f t="shared" si="55"/>
        <v>0</v>
      </c>
      <c r="F101" s="92">
        <f t="shared" si="55"/>
        <v>0</v>
      </c>
      <c r="G101" s="92">
        <f t="shared" si="55"/>
        <v>0</v>
      </c>
      <c r="H101" s="92">
        <f t="shared" si="55"/>
        <v>0</v>
      </c>
      <c r="I101" s="92">
        <f t="shared" si="55"/>
        <v>0</v>
      </c>
      <c r="J101" s="92">
        <f t="shared" si="55"/>
        <v>0</v>
      </c>
      <c r="K101" s="92">
        <f t="shared" si="55"/>
        <v>0</v>
      </c>
      <c r="L101" s="92">
        <f t="shared" si="55"/>
        <v>0</v>
      </c>
      <c r="M101" s="98"/>
    </row>
    <row r="102" spans="2:13" ht="12.75" customHeight="1" x14ac:dyDescent="0.3">
      <c r="B102" s="184" t="s">
        <v>194</v>
      </c>
      <c r="C102" s="92" t="s">
        <v>181</v>
      </c>
      <c r="D102" s="92"/>
      <c r="E102" s="92">
        <f t="shared" si="55"/>
        <v>0</v>
      </c>
      <c r="F102" s="92">
        <f t="shared" si="55"/>
        <v>0</v>
      </c>
      <c r="G102" s="92">
        <f t="shared" si="55"/>
        <v>0</v>
      </c>
      <c r="H102" s="92">
        <f t="shared" si="55"/>
        <v>0</v>
      </c>
      <c r="I102" s="92">
        <f t="shared" si="55"/>
        <v>0</v>
      </c>
      <c r="J102" s="92">
        <f t="shared" si="55"/>
        <v>0</v>
      </c>
      <c r="K102" s="92">
        <f t="shared" si="55"/>
        <v>0</v>
      </c>
      <c r="L102" s="92">
        <f t="shared" si="55"/>
        <v>0</v>
      </c>
      <c r="M102" s="98"/>
    </row>
    <row r="103" spans="2:13" ht="12.75" customHeight="1" x14ac:dyDescent="0.3">
      <c r="B103" s="269" t="s">
        <v>730</v>
      </c>
      <c r="C103" s="92" t="s">
        <v>181</v>
      </c>
      <c r="D103" s="92"/>
      <c r="E103" s="92">
        <f>-E97</f>
        <v>0</v>
      </c>
      <c r="F103" s="92">
        <f t="shared" ref="F103:L103" si="56">-F97</f>
        <v>0</v>
      </c>
      <c r="G103" s="92">
        <f t="shared" si="56"/>
        <v>0</v>
      </c>
      <c r="H103" s="92">
        <f t="shared" si="56"/>
        <v>0</v>
      </c>
      <c r="I103" s="92">
        <f t="shared" si="56"/>
        <v>0</v>
      </c>
      <c r="J103" s="92">
        <f t="shared" si="56"/>
        <v>0</v>
      </c>
      <c r="K103" s="92">
        <f t="shared" si="56"/>
        <v>0</v>
      </c>
      <c r="L103" s="92">
        <f t="shared" si="56"/>
        <v>0</v>
      </c>
      <c r="M103" s="98"/>
    </row>
    <row r="104" spans="2:13" ht="12.75" customHeight="1" x14ac:dyDescent="0.3">
      <c r="B104" s="183" t="s">
        <v>594</v>
      </c>
      <c r="C104" s="92" t="s">
        <v>181</v>
      </c>
      <c r="D104" s="92"/>
      <c r="E104" s="92">
        <f>E36+E37</f>
        <v>0</v>
      </c>
      <c r="F104" s="92">
        <f t="shared" ref="F104:L104" si="57">F36+F37</f>
        <v>0</v>
      </c>
      <c r="G104" s="92">
        <f t="shared" si="57"/>
        <v>0</v>
      </c>
      <c r="H104" s="92">
        <f t="shared" si="57"/>
        <v>0</v>
      </c>
      <c r="I104" s="92">
        <f t="shared" si="57"/>
        <v>0</v>
      </c>
      <c r="J104" s="92">
        <f t="shared" si="57"/>
        <v>0</v>
      </c>
      <c r="K104" s="92">
        <f t="shared" si="57"/>
        <v>0</v>
      </c>
      <c r="L104" s="92">
        <f t="shared" si="57"/>
        <v>0</v>
      </c>
      <c r="M104" s="98"/>
    </row>
    <row r="105" spans="2:13" ht="12.75" customHeight="1" x14ac:dyDescent="0.3">
      <c r="B105" s="183" t="s">
        <v>195</v>
      </c>
      <c r="C105" s="92"/>
      <c r="D105" s="92"/>
      <c r="E105" s="92"/>
      <c r="F105" s="92"/>
      <c r="G105" s="92"/>
      <c r="H105" s="92"/>
      <c r="I105" s="92"/>
      <c r="J105" s="92"/>
      <c r="K105" s="92"/>
      <c r="L105" s="92"/>
      <c r="M105" s="98"/>
    </row>
    <row r="106" spans="2:13" ht="12.75" customHeight="1" x14ac:dyDescent="0.3">
      <c r="B106" s="184" t="s">
        <v>595</v>
      </c>
      <c r="C106" s="92" t="s">
        <v>196</v>
      </c>
      <c r="D106" s="92"/>
      <c r="E106" s="166">
        <f>E73+E75</f>
        <v>0</v>
      </c>
      <c r="F106" s="166">
        <f t="shared" ref="F106:L106" si="58">F73+F75</f>
        <v>0</v>
      </c>
      <c r="G106" s="166">
        <f t="shared" si="58"/>
        <v>0</v>
      </c>
      <c r="H106" s="166">
        <f t="shared" si="58"/>
        <v>0</v>
      </c>
      <c r="I106" s="166">
        <f t="shared" si="58"/>
        <v>0</v>
      </c>
      <c r="J106" s="166">
        <f t="shared" si="58"/>
        <v>0</v>
      </c>
      <c r="K106" s="166">
        <f t="shared" si="58"/>
        <v>0</v>
      </c>
      <c r="L106" s="166">
        <f t="shared" si="58"/>
        <v>0</v>
      </c>
      <c r="M106" s="98"/>
    </row>
    <row r="107" spans="2:13" ht="12.75" customHeight="1" x14ac:dyDescent="0.3">
      <c r="B107" s="184" t="s">
        <v>596</v>
      </c>
      <c r="C107" s="92" t="s">
        <v>65</v>
      </c>
      <c r="D107" s="92"/>
      <c r="E107" s="92">
        <f>Biomet_max!D12</f>
        <v>36</v>
      </c>
      <c r="F107" s="92">
        <f t="shared" ref="F107:L107" si="59">F11</f>
        <v>5580</v>
      </c>
      <c r="G107" s="92">
        <f t="shared" si="59"/>
        <v>7200</v>
      </c>
      <c r="H107" s="92">
        <f t="shared" si="59"/>
        <v>9468</v>
      </c>
      <c r="I107" s="92">
        <f t="shared" si="59"/>
        <v>10800</v>
      </c>
      <c r="J107" s="92">
        <f t="shared" si="59"/>
        <v>11664</v>
      </c>
      <c r="K107" s="92">
        <f t="shared" si="59"/>
        <v>12600</v>
      </c>
      <c r="L107" s="92">
        <f t="shared" si="59"/>
        <v>13348.800000000001</v>
      </c>
      <c r="M107" s="98" t="s">
        <v>615</v>
      </c>
    </row>
    <row r="108" spans="2:13" ht="12.75" customHeight="1" x14ac:dyDescent="0.3">
      <c r="B108" s="244" t="s">
        <v>598</v>
      </c>
      <c r="C108" s="92" t="s">
        <v>718</v>
      </c>
      <c r="D108" s="92"/>
      <c r="E108" s="255">
        <f>E84/1000</f>
        <v>0</v>
      </c>
      <c r="F108" s="255">
        <f t="shared" ref="F108:L108" si="60">F84/1000</f>
        <v>0</v>
      </c>
      <c r="G108" s="255">
        <f t="shared" si="60"/>
        <v>0</v>
      </c>
      <c r="H108" s="255">
        <f t="shared" si="60"/>
        <v>0</v>
      </c>
      <c r="I108" s="255">
        <f t="shared" si="60"/>
        <v>0</v>
      </c>
      <c r="J108" s="255">
        <f t="shared" si="60"/>
        <v>0</v>
      </c>
      <c r="K108" s="255">
        <f t="shared" si="60"/>
        <v>0</v>
      </c>
      <c r="L108" s="255">
        <f t="shared" si="60"/>
        <v>0</v>
      </c>
      <c r="M108" s="98" t="s">
        <v>614</v>
      </c>
    </row>
  </sheetData>
  <mergeCells count="1">
    <mergeCell ref="A2: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108"/>
  <sheetViews>
    <sheetView tabSelected="1" topLeftCell="A17" zoomScaleNormal="100" zoomScalePageLayoutView="125" workbookViewId="0">
      <selection activeCell="H31" sqref="H31"/>
    </sheetView>
  </sheetViews>
  <sheetFormatPr defaultColWidth="17.109375" defaultRowHeight="12.75" customHeight="1" x14ac:dyDescent="0.25"/>
  <cols>
    <col min="1" max="1" width="7.109375" style="155" customWidth="1"/>
    <col min="2" max="2" width="49.44140625" style="97" customWidth="1"/>
    <col min="3" max="3" width="7.77734375" style="97" customWidth="1"/>
    <col min="4" max="4" width="9.33203125" style="97" bestFit="1" customWidth="1"/>
    <col min="5" max="12" width="11.44140625" style="97" customWidth="1"/>
    <col min="13" max="13" width="28.77734375" style="97" customWidth="1"/>
    <col min="14" max="14" width="11.44140625" style="97" customWidth="1"/>
    <col min="15" max="16384" width="17.109375" style="97"/>
  </cols>
  <sheetData>
    <row r="2" spans="1:26" ht="15.6" x14ac:dyDescent="0.3">
      <c r="A2" s="962" t="s">
        <v>233</v>
      </c>
      <c r="B2" s="963"/>
      <c r="C2" s="963"/>
      <c r="F2" s="107">
        <f>F16+F24</f>
        <v>123460000</v>
      </c>
      <c r="G2" s="107">
        <f t="shared" ref="G2:L2" si="0">G16+G24</f>
        <v>123460000</v>
      </c>
      <c r="H2" s="107">
        <f t="shared" si="0"/>
        <v>271612000</v>
      </c>
      <c r="I2" s="107">
        <f t="shared" si="0"/>
        <v>271611999.99999994</v>
      </c>
      <c r="J2" s="107">
        <f t="shared" si="0"/>
        <v>271611999.99999994</v>
      </c>
      <c r="K2" s="107">
        <f t="shared" si="0"/>
        <v>271612000</v>
      </c>
      <c r="L2" s="107">
        <f t="shared" si="0"/>
        <v>271612000</v>
      </c>
      <c r="M2" s="112"/>
      <c r="N2" s="112"/>
      <c r="O2" s="97" t="s">
        <v>7</v>
      </c>
      <c r="P2" s="97" t="s">
        <v>7</v>
      </c>
    </row>
    <row r="3" spans="1:26" ht="12.75" customHeight="1" x14ac:dyDescent="0.25">
      <c r="A3" s="155" t="s">
        <v>7</v>
      </c>
      <c r="D3" s="112">
        <f t="shared" ref="D3:L3" si="1">D4*$D$8</f>
        <v>0</v>
      </c>
      <c r="E3" s="112">
        <f t="shared" si="1"/>
        <v>0</v>
      </c>
      <c r="F3" s="112">
        <f>F4*$D$8</f>
        <v>123459999.99999999</v>
      </c>
      <c r="G3" s="112">
        <f t="shared" si="1"/>
        <v>123459999.99999999</v>
      </c>
      <c r="H3" s="112">
        <f t="shared" si="1"/>
        <v>271612000</v>
      </c>
      <c r="I3" s="112">
        <f t="shared" si="1"/>
        <v>271612000</v>
      </c>
      <c r="J3" s="112">
        <f t="shared" si="1"/>
        <v>271612000</v>
      </c>
      <c r="K3" s="112">
        <f t="shared" si="1"/>
        <v>271612000</v>
      </c>
      <c r="L3" s="112">
        <f t="shared" si="1"/>
        <v>271612000</v>
      </c>
      <c r="M3" s="101"/>
      <c r="N3" s="101"/>
      <c r="O3" s="97" t="s">
        <v>7</v>
      </c>
    </row>
    <row r="4" spans="1:26" ht="12.75" customHeight="1" x14ac:dyDescent="0.25">
      <c r="A4" s="155" t="s">
        <v>7</v>
      </c>
      <c r="B4" s="101" t="s">
        <v>234</v>
      </c>
      <c r="C4" s="97" t="s">
        <v>235</v>
      </c>
      <c r="D4" s="101">
        <v>0</v>
      </c>
      <c r="E4" s="229">
        <v>0</v>
      </c>
      <c r="F4" s="230">
        <v>100000</v>
      </c>
      <c r="G4" s="230">
        <f>F4</f>
        <v>100000</v>
      </c>
      <c r="H4" s="230">
        <v>220000</v>
      </c>
      <c r="I4" s="230">
        <f>H4</f>
        <v>220000</v>
      </c>
      <c r="J4" s="230">
        <f>I4</f>
        <v>220000</v>
      </c>
      <c r="K4" s="230">
        <f>J4</f>
        <v>220000</v>
      </c>
      <c r="L4" s="230">
        <f>K4</f>
        <v>220000</v>
      </c>
      <c r="M4" s="104"/>
      <c r="N4" s="104"/>
    </row>
    <row r="5" spans="1:26" ht="12.75" customHeight="1" x14ac:dyDescent="0.25">
      <c r="B5" s="104" t="s">
        <v>236</v>
      </c>
      <c r="C5" s="97" t="s">
        <v>235</v>
      </c>
      <c r="D5" s="104">
        <v>0</v>
      </c>
      <c r="E5" s="104">
        <f t="shared" ref="E5:L5" si="2">E4-D4</f>
        <v>0</v>
      </c>
      <c r="F5" s="104">
        <f t="shared" si="2"/>
        <v>100000</v>
      </c>
      <c r="G5" s="104">
        <f t="shared" si="2"/>
        <v>0</v>
      </c>
      <c r="H5" s="104">
        <f t="shared" si="2"/>
        <v>120000</v>
      </c>
      <c r="I5" s="104">
        <f t="shared" si="2"/>
        <v>0</v>
      </c>
      <c r="J5" s="104">
        <f t="shared" si="2"/>
        <v>0</v>
      </c>
      <c r="K5" s="104">
        <f t="shared" si="2"/>
        <v>0</v>
      </c>
      <c r="L5" s="104">
        <f t="shared" si="2"/>
        <v>0</v>
      </c>
      <c r="M5" s="104"/>
      <c r="N5" s="104"/>
    </row>
    <row r="6" spans="1:26" ht="12.75" customHeight="1" x14ac:dyDescent="0.25">
      <c r="B6" s="97" t="s">
        <v>7</v>
      </c>
      <c r="C6" s="97" t="s">
        <v>7</v>
      </c>
      <c r="D6" s="97" t="s">
        <v>7</v>
      </c>
      <c r="E6" s="97" t="s">
        <v>7</v>
      </c>
      <c r="F6" s="97" t="s">
        <v>7</v>
      </c>
      <c r="G6" s="97" t="s">
        <v>7</v>
      </c>
      <c r="H6" s="97" t="s">
        <v>7</v>
      </c>
      <c r="I6" s="97" t="s">
        <v>7</v>
      </c>
      <c r="J6" s="97" t="s">
        <v>7</v>
      </c>
      <c r="K6" s="97" t="s">
        <v>7</v>
      </c>
      <c r="L6" s="97" t="s">
        <v>7</v>
      </c>
    </row>
    <row r="7" spans="1:26" ht="52.8" x14ac:dyDescent="0.25">
      <c r="D7" s="94" t="s">
        <v>237</v>
      </c>
      <c r="E7" s="94" t="s">
        <v>134</v>
      </c>
      <c r="F7" s="94" t="s">
        <v>135</v>
      </c>
      <c r="G7" s="94">
        <v>7.5</v>
      </c>
      <c r="H7" s="94" t="s">
        <v>27</v>
      </c>
      <c r="O7" s="97" t="s">
        <v>21</v>
      </c>
      <c r="Q7" s="112"/>
      <c r="R7" s="97">
        <v>1000</v>
      </c>
    </row>
    <row r="8" spans="1:26" ht="12.75" customHeight="1" x14ac:dyDescent="0.25">
      <c r="D8" s="94">
        <f>'Bioetanooli abitabelid'!D45</f>
        <v>1234.5999999999999</v>
      </c>
      <c r="E8" s="94">
        <v>3.6</v>
      </c>
      <c r="F8" s="94">
        <v>2.3883999999999999E-2</v>
      </c>
      <c r="G8" s="94">
        <f>27/1000</f>
        <v>2.7E-2</v>
      </c>
      <c r="H8" s="94" t="s">
        <v>238</v>
      </c>
      <c r="O8" s="97">
        <v>27</v>
      </c>
      <c r="P8" s="97" t="s">
        <v>23</v>
      </c>
      <c r="Q8" s="97" t="s">
        <v>239</v>
      </c>
      <c r="R8" s="97">
        <f>O8/R7</f>
        <v>2.7E-2</v>
      </c>
    </row>
    <row r="9" spans="1:26" ht="12.75" customHeight="1" x14ac:dyDescent="0.25">
      <c r="B9" s="154" t="s">
        <v>240</v>
      </c>
      <c r="C9" s="97" t="s">
        <v>143</v>
      </c>
      <c r="D9" s="106">
        <v>2012</v>
      </c>
      <c r="E9" s="106">
        <v>2015</v>
      </c>
      <c r="F9" s="106">
        <v>2020</v>
      </c>
      <c r="G9" s="106">
        <v>2025</v>
      </c>
      <c r="H9" s="106">
        <v>2030</v>
      </c>
      <c r="I9" s="106">
        <v>2035</v>
      </c>
      <c r="J9" s="106">
        <v>2040</v>
      </c>
      <c r="K9" s="106">
        <v>2045</v>
      </c>
      <c r="L9" s="106">
        <v>2050</v>
      </c>
      <c r="M9" s="106"/>
      <c r="N9" s="106"/>
      <c r="O9" s="191">
        <v>41401</v>
      </c>
      <c r="P9" s="97" t="s">
        <v>27</v>
      </c>
    </row>
    <row r="10" spans="1:26" ht="12.75" customHeight="1" x14ac:dyDescent="0.25">
      <c r="B10" s="169" t="s">
        <v>241</v>
      </c>
      <c r="C10" s="153" t="s">
        <v>147</v>
      </c>
      <c r="D10" s="162">
        <f t="shared" ref="D10:L10" si="3">(D4*$G$7)/1000</f>
        <v>0</v>
      </c>
      <c r="E10" s="162">
        <f t="shared" si="3"/>
        <v>0</v>
      </c>
      <c r="F10" s="162">
        <f>(F4*$G$7)/1000</f>
        <v>750</v>
      </c>
      <c r="G10" s="162">
        <f t="shared" si="3"/>
        <v>750</v>
      </c>
      <c r="H10" s="162">
        <f t="shared" si="3"/>
        <v>1650</v>
      </c>
      <c r="I10" s="162">
        <f t="shared" si="3"/>
        <v>1650</v>
      </c>
      <c r="J10" s="162">
        <f t="shared" si="3"/>
        <v>1650</v>
      </c>
      <c r="K10" s="162">
        <f t="shared" si="3"/>
        <v>1650</v>
      </c>
      <c r="L10" s="162">
        <f t="shared" si="3"/>
        <v>1650</v>
      </c>
      <c r="M10" s="107"/>
      <c r="N10" s="107"/>
      <c r="O10" s="107">
        <v>6</v>
      </c>
      <c r="P10" s="97" t="s">
        <v>30</v>
      </c>
      <c r="U10" s="97">
        <v>2000</v>
      </c>
      <c r="V10" s="97">
        <v>2630</v>
      </c>
      <c r="W10" s="97">
        <v>3000</v>
      </c>
      <c r="X10" s="97">
        <v>3240</v>
      </c>
      <c r="Y10" s="97">
        <v>3500</v>
      </c>
      <c r="Z10" s="97">
        <v>3708</v>
      </c>
    </row>
    <row r="11" spans="1:26" ht="12.75" customHeight="1" x14ac:dyDescent="0.25">
      <c r="B11" s="169" t="s">
        <v>241</v>
      </c>
      <c r="C11" s="153" t="s">
        <v>65</v>
      </c>
      <c r="D11" s="162">
        <f>D10*$E$8</f>
        <v>0</v>
      </c>
      <c r="E11" s="162">
        <f>E10*E8</f>
        <v>0</v>
      </c>
      <c r="F11" s="162">
        <f>F10*$E$8</f>
        <v>2700</v>
      </c>
      <c r="G11" s="162">
        <f t="shared" ref="G11:L11" si="4">G10*$E$8</f>
        <v>2700</v>
      </c>
      <c r="H11" s="162">
        <f t="shared" si="4"/>
        <v>5940</v>
      </c>
      <c r="I11" s="162">
        <f t="shared" si="4"/>
        <v>5940</v>
      </c>
      <c r="J11" s="162">
        <f t="shared" si="4"/>
        <v>5940</v>
      </c>
      <c r="K11" s="162">
        <f t="shared" si="4"/>
        <v>5940</v>
      </c>
      <c r="L11" s="162">
        <f t="shared" si="4"/>
        <v>5940</v>
      </c>
      <c r="M11" s="110"/>
      <c r="N11" s="110"/>
      <c r="U11" s="97">
        <v>2000</v>
      </c>
      <c r="V11" s="97">
        <v>2630</v>
      </c>
      <c r="W11" s="97">
        <v>3000</v>
      </c>
      <c r="X11" s="97">
        <v>3240</v>
      </c>
      <c r="Y11" s="97">
        <v>3500</v>
      </c>
      <c r="Z11" s="97">
        <v>3708</v>
      </c>
    </row>
    <row r="12" spans="1:26" ht="12.75" customHeight="1" x14ac:dyDescent="0.25">
      <c r="B12" s="169"/>
      <c r="C12" s="104"/>
      <c r="E12" s="112"/>
      <c r="F12" s="112"/>
      <c r="G12" s="112"/>
      <c r="H12" s="112"/>
      <c r="I12" s="112"/>
      <c r="J12" s="112"/>
      <c r="K12" s="112"/>
      <c r="L12" s="112"/>
      <c r="M12" s="112"/>
      <c r="N12" s="112"/>
    </row>
    <row r="13" spans="1:26" ht="12.75" customHeight="1" x14ac:dyDescent="0.25">
      <c r="B13" s="169"/>
      <c r="C13" s="104"/>
      <c r="E13" s="112"/>
      <c r="F13" s="112"/>
      <c r="G13" s="112"/>
      <c r="H13" s="112"/>
      <c r="I13" s="112"/>
      <c r="J13" s="112"/>
      <c r="K13" s="112"/>
      <c r="L13" s="112"/>
      <c r="M13" s="112"/>
      <c r="N13" s="112"/>
    </row>
    <row r="14" spans="1:26" ht="12.75" customHeight="1" x14ac:dyDescent="0.25">
      <c r="B14" s="169" t="s">
        <v>241</v>
      </c>
      <c r="C14" s="97" t="s">
        <v>16</v>
      </c>
      <c r="D14" s="115">
        <f t="shared" ref="D14:L14" si="5">D11*$F$8</f>
        <v>0</v>
      </c>
      <c r="E14" s="112">
        <f t="shared" si="5"/>
        <v>0</v>
      </c>
      <c r="F14" s="112">
        <f t="shared" si="5"/>
        <v>64.486800000000002</v>
      </c>
      <c r="G14" s="112">
        <f t="shared" si="5"/>
        <v>64.486800000000002</v>
      </c>
      <c r="H14" s="112">
        <f t="shared" si="5"/>
        <v>141.87096</v>
      </c>
      <c r="I14" s="112">
        <f t="shared" si="5"/>
        <v>141.87096</v>
      </c>
      <c r="J14" s="112">
        <f t="shared" si="5"/>
        <v>141.87096</v>
      </c>
      <c r="K14" s="112">
        <f t="shared" si="5"/>
        <v>141.87096</v>
      </c>
      <c r="L14" s="112">
        <f t="shared" si="5"/>
        <v>141.87096</v>
      </c>
      <c r="M14" s="112"/>
      <c r="N14" s="112"/>
      <c r="P14" s="115"/>
    </row>
    <row r="15" spans="1:26" ht="12.75" customHeight="1" x14ac:dyDescent="0.25">
      <c r="B15" s="169"/>
      <c r="D15" s="107"/>
      <c r="E15" s="107"/>
      <c r="F15" s="107">
        <v>92</v>
      </c>
      <c r="G15" s="107"/>
      <c r="H15" s="107"/>
      <c r="I15" s="107"/>
      <c r="J15" s="107"/>
      <c r="K15" s="107"/>
      <c r="L15" s="107"/>
      <c r="M15" s="107"/>
      <c r="N15" s="107"/>
    </row>
    <row r="16" spans="1:26" ht="12.75" customHeight="1" x14ac:dyDescent="0.25">
      <c r="B16" s="169" t="s">
        <v>242</v>
      </c>
      <c r="C16" s="97" t="s">
        <v>495</v>
      </c>
      <c r="D16" s="107"/>
      <c r="E16" s="107"/>
      <c r="F16" s="107">
        <f>F17/$E$8/$G$7*1000*$D$8</f>
        <v>50107062.32150206</v>
      </c>
      <c r="G16" s="107">
        <f t="shared" ref="G16:L16" si="6">G17/$E$8/$G$7*1000*$D$8</f>
        <v>62519971.740168281</v>
      </c>
      <c r="H16" s="107">
        <f t="shared" si="6"/>
        <v>74932881.158834472</v>
      </c>
      <c r="I16" s="107">
        <f t="shared" si="6"/>
        <v>61256990.190325864</v>
      </c>
      <c r="J16" s="107">
        <f t="shared" si="6"/>
        <v>47581099.22181724</v>
      </c>
      <c r="K16" s="107">
        <f t="shared" si="6"/>
        <v>40743153.73756294</v>
      </c>
      <c r="L16" s="107">
        <f t="shared" si="6"/>
        <v>20229317.284800015</v>
      </c>
      <c r="M16" s="107"/>
      <c r="N16" s="107"/>
    </row>
    <row r="17" spans="1:14" ht="12.75" customHeight="1" x14ac:dyDescent="0.25">
      <c r="B17" s="511" t="s">
        <v>150</v>
      </c>
      <c r="C17" s="512" t="s">
        <v>65</v>
      </c>
      <c r="D17" s="594">
        <v>0</v>
      </c>
      <c r="E17" s="594">
        <v>588.47627728944849</v>
      </c>
      <c r="F17" s="594">
        <v>1095.8129618342425</v>
      </c>
      <c r="G17" s="594">
        <v>1367.2762327754281</v>
      </c>
      <c r="H17" s="594">
        <v>1638.7395037166134</v>
      </c>
      <c r="I17" s="594">
        <v>1339.6555444182718</v>
      </c>
      <c r="J17" s="594">
        <v>1040.5715851199302</v>
      </c>
      <c r="K17" s="594">
        <v>891.02960547075929</v>
      </c>
      <c r="L17" s="594">
        <v>442.40366652324684</v>
      </c>
    </row>
    <row r="18" spans="1:14" ht="12.75" customHeight="1" x14ac:dyDescent="0.25">
      <c r="B18" s="169"/>
      <c r="C18" s="97" t="s">
        <v>16</v>
      </c>
      <c r="D18" s="97">
        <v>0</v>
      </c>
      <c r="E18" s="97">
        <v>13</v>
      </c>
      <c r="F18" s="97">
        <v>26</v>
      </c>
      <c r="G18" s="97">
        <v>32</v>
      </c>
      <c r="H18" s="97">
        <v>37</v>
      </c>
      <c r="I18" s="97">
        <v>30</v>
      </c>
      <c r="J18" s="97">
        <v>23</v>
      </c>
      <c r="K18" s="97">
        <v>19</v>
      </c>
      <c r="L18" s="97">
        <v>8</v>
      </c>
    </row>
    <row r="19" spans="1:14" ht="12.75" customHeight="1" x14ac:dyDescent="0.25">
      <c r="B19" s="169"/>
      <c r="D19" s="107"/>
      <c r="E19" s="107"/>
      <c r="F19" s="107" t="s">
        <v>7</v>
      </c>
      <c r="G19" s="107"/>
      <c r="H19" s="107"/>
      <c r="I19" s="107"/>
      <c r="J19" s="107"/>
      <c r="K19" s="107"/>
      <c r="L19" s="107"/>
      <c r="M19" s="107"/>
      <c r="N19" s="107"/>
    </row>
    <row r="20" spans="1:14" ht="12.75" customHeight="1" x14ac:dyDescent="0.25">
      <c r="B20" s="177" t="s">
        <v>151</v>
      </c>
      <c r="C20" s="154" t="s">
        <v>65</v>
      </c>
      <c r="D20" s="225">
        <v>29886.140291495798</v>
      </c>
      <c r="E20" s="225">
        <v>31254.330001118426</v>
      </c>
      <c r="F20" s="225">
        <v>31266.798568937575</v>
      </c>
      <c r="G20" s="225">
        <v>30260.078871942118</v>
      </c>
      <c r="H20" s="225">
        <v>29253.359174946665</v>
      </c>
      <c r="I20" s="225">
        <v>25759.772689012549</v>
      </c>
      <c r="J20" s="225">
        <v>22266.186203078443</v>
      </c>
      <c r="K20" s="225">
        <v>20519.392960111392</v>
      </c>
      <c r="L20" s="225">
        <v>15279.013231210223</v>
      </c>
      <c r="M20" s="112"/>
      <c r="N20" s="112"/>
    </row>
    <row r="21" spans="1:14" ht="12.75" customHeight="1" x14ac:dyDescent="0.25">
      <c r="B21" s="169"/>
      <c r="C21" s="97" t="s">
        <v>16</v>
      </c>
      <c r="D21" s="97">
        <v>714</v>
      </c>
      <c r="E21" s="97">
        <v>730</v>
      </c>
      <c r="F21" s="97">
        <v>746</v>
      </c>
      <c r="G21" s="97">
        <v>713</v>
      </c>
      <c r="H21" s="97">
        <v>681</v>
      </c>
      <c r="I21" s="97">
        <v>604</v>
      </c>
      <c r="J21" s="97">
        <v>526</v>
      </c>
      <c r="K21" s="97">
        <v>487</v>
      </c>
      <c r="L21" s="97">
        <v>371</v>
      </c>
    </row>
    <row r="22" spans="1:14" ht="12.75" customHeight="1" x14ac:dyDescent="0.25">
      <c r="A22" s="155">
        <f>F4/F3*1000</f>
        <v>0.80997894054754582</v>
      </c>
      <c r="B22" s="169" t="s">
        <v>243</v>
      </c>
      <c r="C22" s="97" t="s">
        <v>154</v>
      </c>
      <c r="D22" s="152">
        <f t="shared" ref="D22:L22" si="7">D17/D20</f>
        <v>0</v>
      </c>
      <c r="E22" s="152">
        <f t="shared" si="7"/>
        <v>1.8828631977341703E-2</v>
      </c>
      <c r="F22" s="152">
        <f t="shared" si="7"/>
        <v>3.5047175022353994E-2</v>
      </c>
      <c r="G22" s="152">
        <f t="shared" si="7"/>
        <v>4.5184159584038625E-2</v>
      </c>
      <c r="H22" s="152">
        <f t="shared" si="7"/>
        <v>5.6018848772761538E-2</v>
      </c>
      <c r="I22" s="152">
        <f t="shared" si="7"/>
        <v>5.2005720725543596E-2</v>
      </c>
      <c r="J22" s="152">
        <f t="shared" si="7"/>
        <v>4.6733265213423233E-2</v>
      </c>
      <c r="K22" s="152">
        <f t="shared" si="7"/>
        <v>4.3423779992072545E-2</v>
      </c>
      <c r="L22" s="152">
        <f t="shared" si="7"/>
        <v>2.8954989424287897E-2</v>
      </c>
      <c r="M22" s="116"/>
      <c r="N22" s="116"/>
    </row>
    <row r="23" spans="1:14" ht="12.75" customHeight="1" x14ac:dyDescent="0.25">
      <c r="B23" s="169" t="s">
        <v>244</v>
      </c>
      <c r="C23" s="97" t="s">
        <v>65</v>
      </c>
      <c r="D23" s="112">
        <v>0</v>
      </c>
      <c r="E23" s="112">
        <f>E17</f>
        <v>588.47627728944849</v>
      </c>
      <c r="F23" s="152"/>
      <c r="G23" s="152"/>
      <c r="H23" s="152"/>
      <c r="I23" s="152"/>
      <c r="J23" s="152"/>
      <c r="K23" s="152"/>
      <c r="L23" s="152"/>
      <c r="M23" s="116"/>
      <c r="N23" s="116"/>
    </row>
    <row r="24" spans="1:14" ht="12.75" customHeight="1" x14ac:dyDescent="0.25">
      <c r="A24" s="155">
        <f>A25/E8</f>
        <v>0.77777777777777768</v>
      </c>
      <c r="B24" s="169" t="s">
        <v>245</v>
      </c>
      <c r="C24" s="97" t="s">
        <v>495</v>
      </c>
      <c r="F24" s="112">
        <f>F25/$E$8/$G$7*1000*$D$8</f>
        <v>73352937.67849794</v>
      </c>
      <c r="G24" s="112">
        <f t="shared" ref="G24:L24" si="8">G25/$E$8/$G$7*1000*$D$8</f>
        <v>60940028.259831712</v>
      </c>
      <c r="H24" s="112">
        <f t="shared" si="8"/>
        <v>196679118.84116551</v>
      </c>
      <c r="I24" s="112">
        <f t="shared" si="8"/>
        <v>210355009.80967408</v>
      </c>
      <c r="J24" s="112">
        <f t="shared" si="8"/>
        <v>224030900.77818272</v>
      </c>
      <c r="K24" s="112">
        <f t="shared" si="8"/>
        <v>230868846.26243705</v>
      </c>
      <c r="L24" s="112">
        <f t="shared" si="8"/>
        <v>251382682.71519998</v>
      </c>
      <c r="M24" s="107"/>
      <c r="N24" s="107"/>
    </row>
    <row r="25" spans="1:14" ht="12.75" customHeight="1" x14ac:dyDescent="0.25">
      <c r="A25" s="155">
        <f>21/G7</f>
        <v>2.8</v>
      </c>
      <c r="B25" s="169" t="s">
        <v>245</v>
      </c>
      <c r="C25" s="97" t="s">
        <v>65</v>
      </c>
      <c r="D25" s="112">
        <f>D11-D17</f>
        <v>0</v>
      </c>
      <c r="E25" s="112">
        <v>0</v>
      </c>
      <c r="F25" s="112">
        <f t="shared" ref="F25:L25" si="9">F11-F17</f>
        <v>1604.1870381657575</v>
      </c>
      <c r="G25" s="112">
        <f t="shared" si="9"/>
        <v>1332.7237672245719</v>
      </c>
      <c r="H25" s="112">
        <f t="shared" si="9"/>
        <v>4301.2604962833866</v>
      </c>
      <c r="I25" s="112">
        <f t="shared" si="9"/>
        <v>4600.3444555817277</v>
      </c>
      <c r="J25" s="112">
        <f t="shared" si="9"/>
        <v>4899.4284148800698</v>
      </c>
      <c r="K25" s="112">
        <f t="shared" si="9"/>
        <v>5048.9703945292404</v>
      </c>
      <c r="L25" s="112">
        <f t="shared" si="9"/>
        <v>5497.596333476753</v>
      </c>
      <c r="M25" s="107"/>
      <c r="N25" s="107"/>
    </row>
    <row r="26" spans="1:14" ht="12.75" customHeight="1" x14ac:dyDescent="0.25">
      <c r="B26" s="169"/>
      <c r="C26" s="97" t="s">
        <v>16</v>
      </c>
      <c r="D26" s="107">
        <f t="shared" ref="D26:L26" si="10">D25*$F$8</f>
        <v>0</v>
      </c>
      <c r="E26" s="107">
        <f t="shared" si="10"/>
        <v>0</v>
      </c>
      <c r="F26" s="107">
        <f t="shared" si="10"/>
        <v>38.314403219550947</v>
      </c>
      <c r="G26" s="107">
        <f t="shared" si="10"/>
        <v>31.830774456391676</v>
      </c>
      <c r="H26" s="107">
        <f t="shared" si="10"/>
        <v>102.7313056932324</v>
      </c>
      <c r="I26" s="107">
        <f t="shared" si="10"/>
        <v>109.87462697711398</v>
      </c>
      <c r="J26" s="107">
        <f t="shared" si="10"/>
        <v>117.01794826099558</v>
      </c>
      <c r="K26" s="107">
        <f t="shared" si="10"/>
        <v>120.58960890293638</v>
      </c>
      <c r="L26" s="107">
        <f t="shared" si="10"/>
        <v>131.30459082875876</v>
      </c>
      <c r="M26" s="107"/>
      <c r="N26" s="107"/>
    </row>
    <row r="27" spans="1:14" ht="12.75" customHeight="1" x14ac:dyDescent="0.25">
      <c r="A27" s="939">
        <f>27/E8/G7</f>
        <v>1</v>
      </c>
      <c r="B27" s="169" t="s">
        <v>246</v>
      </c>
      <c r="C27" s="97" t="s">
        <v>154</v>
      </c>
      <c r="D27" s="152">
        <v>0</v>
      </c>
      <c r="E27" s="152">
        <v>0</v>
      </c>
      <c r="F27" s="152">
        <f t="shared" ref="F27:L27" si="11">F25/F11</f>
        <v>0.59414334746879904</v>
      </c>
      <c r="G27" s="152">
        <f t="shared" si="11"/>
        <v>0.49360139526836</v>
      </c>
      <c r="H27" s="152">
        <f t="shared" si="11"/>
        <v>0.72411792866723679</v>
      </c>
      <c r="I27" s="152">
        <f t="shared" si="11"/>
        <v>0.7744687635659474</v>
      </c>
      <c r="J27" s="152">
        <f t="shared" si="11"/>
        <v>0.82481959846465824</v>
      </c>
      <c r="K27" s="152">
        <f t="shared" si="11"/>
        <v>0.8499950159140135</v>
      </c>
      <c r="L27" s="152">
        <f t="shared" si="11"/>
        <v>0.92552126826207959</v>
      </c>
      <c r="M27" s="116"/>
      <c r="N27" s="116"/>
    </row>
    <row r="28" spans="1:14" ht="12.75" customHeight="1" x14ac:dyDescent="0.25">
      <c r="A28" s="155">
        <f>uus_info!F60/1000</f>
        <v>0.626</v>
      </c>
      <c r="B28" s="154" t="s">
        <v>619</v>
      </c>
      <c r="D28" s="596">
        <f>A29*0.8</f>
        <v>0.626</v>
      </c>
      <c r="E28" s="116"/>
      <c r="F28" s="116"/>
      <c r="G28" s="116"/>
      <c r="H28" s="116"/>
      <c r="I28" s="116"/>
      <c r="J28" s="116"/>
      <c r="K28" s="116"/>
      <c r="L28" s="116"/>
      <c r="M28" s="116"/>
      <c r="N28" s="116"/>
    </row>
    <row r="29" spans="1:14" ht="12.75" customHeight="1" x14ac:dyDescent="0.25">
      <c r="A29" s="155">
        <f>uus_info!C60</f>
        <v>0.78249999999999997</v>
      </c>
      <c r="B29" s="169" t="s">
        <v>247</v>
      </c>
      <c r="D29" s="128">
        <f>(D30/10)/3.6</f>
        <v>0.58687499999999992</v>
      </c>
      <c r="E29" s="107"/>
      <c r="F29" s="107"/>
      <c r="G29" s="107"/>
      <c r="H29" s="107"/>
      <c r="I29" s="107"/>
      <c r="J29" s="107"/>
      <c r="K29" s="107"/>
      <c r="L29" s="107"/>
      <c r="M29" s="107"/>
      <c r="N29" s="107"/>
    </row>
    <row r="30" spans="1:14" ht="12.75" customHeight="1" x14ac:dyDescent="0.25">
      <c r="A30" s="155">
        <f>(A29*G7)*E8</f>
        <v>21.127499999999998</v>
      </c>
      <c r="B30" s="169" t="s">
        <v>248</v>
      </c>
      <c r="C30" s="97" t="s">
        <v>158</v>
      </c>
      <c r="D30" s="118">
        <f>A30</f>
        <v>21.127499999999998</v>
      </c>
      <c r="E30" s="107">
        <f>$D$30*TJ_kytusehinnad!G5/100</f>
        <v>21.515160550458713</v>
      </c>
      <c r="F30" s="107">
        <f>$D$30*TJ_kytusehinnad!H5/100</f>
        <v>21.902821100917432</v>
      </c>
      <c r="G30" s="107">
        <f>$D$30*TJ_kytusehinnad!I5/100</f>
        <v>22.4843119266055</v>
      </c>
      <c r="H30" s="107">
        <f>$D$30*TJ_kytusehinnad!J5/100</f>
        <v>23.45346330275229</v>
      </c>
      <c r="I30" s="107">
        <f>$D$30*TJ_kytusehinnad!K5/100</f>
        <v>24.810275229357799</v>
      </c>
      <c r="J30" s="107">
        <f>I30*TJ_kytusehinnad!L5</f>
        <v>26.249271192660554</v>
      </c>
      <c r="K30" s="107">
        <f>J30*TJ_kytusehinnad!M5</f>
        <v>27.771728921834868</v>
      </c>
      <c r="L30" s="107">
        <f>K30*TJ_kytusehinnad!N5</f>
        <v>29.38248919930129</v>
      </c>
      <c r="M30" s="98" t="s">
        <v>638</v>
      </c>
      <c r="N30" s="107"/>
    </row>
    <row r="31" spans="1:14" ht="12.75" customHeight="1" x14ac:dyDescent="0.25">
      <c r="A31" s="200"/>
      <c r="B31" s="169"/>
      <c r="D31" s="107"/>
      <c r="E31" s="107"/>
      <c r="F31" s="107"/>
      <c r="G31" s="107"/>
      <c r="H31" s="107"/>
      <c r="I31" s="107"/>
      <c r="J31" s="107"/>
      <c r="K31" s="107"/>
      <c r="L31" s="107"/>
      <c r="M31" s="107"/>
      <c r="N31" s="107"/>
    </row>
    <row r="32" spans="1:14" ht="12.75" customHeight="1" x14ac:dyDescent="0.25">
      <c r="A32" s="200"/>
      <c r="B32" s="169"/>
    </row>
    <row r="33" spans="1:22" ht="12.75" customHeight="1" x14ac:dyDescent="0.25">
      <c r="B33" s="169"/>
      <c r="E33" s="107"/>
      <c r="F33" s="107"/>
      <c r="G33" s="107"/>
      <c r="H33" s="107"/>
      <c r="I33" s="107"/>
      <c r="J33" s="107"/>
      <c r="K33" s="107"/>
      <c r="L33" s="107"/>
      <c r="M33" s="107"/>
      <c r="N33" s="107"/>
    </row>
    <row r="34" spans="1:22" ht="12.75" customHeight="1" x14ac:dyDescent="0.25">
      <c r="A34" s="200"/>
      <c r="B34" s="169"/>
      <c r="E34" s="112"/>
      <c r="F34" s="112"/>
      <c r="G34" s="112"/>
      <c r="H34" s="112"/>
      <c r="I34" s="112"/>
      <c r="J34" s="112"/>
      <c r="K34" s="112"/>
      <c r="L34" s="112"/>
      <c r="M34" s="112"/>
      <c r="N34" s="112"/>
    </row>
    <row r="35" spans="1:22" ht="12.75" customHeight="1" x14ac:dyDescent="0.25">
      <c r="B35" s="169"/>
      <c r="D35" s="107"/>
      <c r="E35" s="107"/>
      <c r="F35" s="107"/>
      <c r="G35" s="107"/>
      <c r="H35" s="107"/>
      <c r="I35" s="107"/>
      <c r="J35" s="107"/>
      <c r="K35" s="107"/>
      <c r="L35" s="107"/>
      <c r="M35" s="107"/>
      <c r="N35" s="107"/>
    </row>
    <row r="36" spans="1:22" ht="12.75" customHeight="1" x14ac:dyDescent="0.25">
      <c r="B36" s="169"/>
      <c r="D36" s="107"/>
      <c r="E36" s="107"/>
      <c r="F36" s="107"/>
      <c r="G36" s="107"/>
      <c r="H36" s="107"/>
      <c r="I36" s="107"/>
      <c r="J36" s="107"/>
      <c r="K36" s="107"/>
      <c r="L36" s="107"/>
      <c r="M36" s="107"/>
      <c r="N36" s="107"/>
    </row>
    <row r="37" spans="1:22" ht="12.75" customHeight="1" x14ac:dyDescent="0.25">
      <c r="B37" s="169"/>
      <c r="D37" s="107"/>
      <c r="E37" s="107"/>
      <c r="F37" s="107"/>
      <c r="G37" s="107"/>
      <c r="H37" s="107"/>
      <c r="I37" s="107"/>
      <c r="J37" s="107"/>
      <c r="K37" s="107"/>
      <c r="L37" s="107"/>
      <c r="M37" s="107"/>
      <c r="N37" s="107"/>
    </row>
    <row r="38" spans="1:22" ht="12.75" customHeight="1" x14ac:dyDescent="0.25">
      <c r="B38" s="169"/>
      <c r="D38" s="107"/>
      <c r="E38" s="107"/>
      <c r="F38" s="107"/>
      <c r="G38" s="107"/>
      <c r="H38" s="107"/>
      <c r="I38" s="107"/>
      <c r="J38" s="107"/>
      <c r="K38" s="107"/>
      <c r="L38" s="107"/>
      <c r="M38" s="107"/>
      <c r="N38" s="107"/>
    </row>
    <row r="39" spans="1:22" ht="12.75" customHeight="1" x14ac:dyDescent="0.25">
      <c r="A39" s="155" t="s">
        <v>800</v>
      </c>
      <c r="B39" s="170" t="s">
        <v>715</v>
      </c>
      <c r="C39" s="95" t="s">
        <v>169</v>
      </c>
      <c r="D39" s="96">
        <f>(D31*D25)/1000</f>
        <v>0</v>
      </c>
      <c r="E39" s="157">
        <f>(E31*E25)/1000</f>
        <v>0</v>
      </c>
      <c r="F39" s="96">
        <f>(F30*F25)/1000</f>
        <v>35.136221709355191</v>
      </c>
      <c r="G39" s="96">
        <f t="shared" ref="G39:L39" si="12">(G30*G25)/1000</f>
        <v>29.965376894278055</v>
      </c>
      <c r="H39" s="96">
        <f t="shared" si="12"/>
        <v>100.87945520516051</v>
      </c>
      <c r="I39" s="96">
        <f t="shared" si="12"/>
        <v>114.13581209283282</v>
      </c>
      <c r="J39" s="96">
        <f t="shared" si="12"/>
        <v>128.60642515121398</v>
      </c>
      <c r="K39" s="96">
        <f t="shared" si="12"/>
        <v>140.21863713123571</v>
      </c>
      <c r="L39" s="96">
        <f t="shared" si="12"/>
        <v>161.53306489049905</v>
      </c>
      <c r="M39" s="107"/>
      <c r="N39" s="107"/>
    </row>
    <row r="40" spans="1:22" ht="12.75" customHeight="1" x14ac:dyDescent="0.25">
      <c r="B40" s="168" t="s">
        <v>250</v>
      </c>
      <c r="C40" s="95" t="s">
        <v>169</v>
      </c>
      <c r="D40" s="96">
        <f>(D17*D31)/1000</f>
        <v>0</v>
      </c>
      <c r="E40" s="157">
        <f>(E17*E31)/1000</f>
        <v>0</v>
      </c>
      <c r="F40" s="96">
        <f>(F17*F30)/1000</f>
        <v>24.001395263121875</v>
      </c>
      <c r="G40" s="96">
        <f t="shared" ref="G40:L40" si="13">(G17*G30)/1000</f>
        <v>30.742265307556796</v>
      </c>
      <c r="H40" s="96">
        <f t="shared" si="13"/>
        <v>38.434116813188091</v>
      </c>
      <c r="I40" s="96">
        <f t="shared" si="13"/>
        <v>33.237222769552488</v>
      </c>
      <c r="J40" s="96">
        <f t="shared" si="13"/>
        <v>27.314245733189715</v>
      </c>
      <c r="K40" s="96">
        <f t="shared" si="13"/>
        <v>24.745432664463397</v>
      </c>
      <c r="L40" s="96">
        <f t="shared" si="13"/>
        <v>12.99892095335059</v>
      </c>
      <c r="M40" s="107"/>
      <c r="N40" s="107"/>
    </row>
    <row r="41" spans="1:22" ht="12.75" customHeight="1" x14ac:dyDescent="0.25">
      <c r="A41" s="201"/>
      <c r="B41" s="185" t="s">
        <v>251</v>
      </c>
      <c r="C41" s="186" t="s">
        <v>169</v>
      </c>
      <c r="D41" s="187">
        <f t="shared" ref="D41:L41" si="14">D40+D39</f>
        <v>0</v>
      </c>
      <c r="E41" s="188">
        <f t="shared" si="14"/>
        <v>0</v>
      </c>
      <c r="F41" s="187">
        <f t="shared" si="14"/>
        <v>59.137616972477062</v>
      </c>
      <c r="G41" s="187">
        <f t="shared" si="14"/>
        <v>60.707642201834851</v>
      </c>
      <c r="H41" s="187">
        <f t="shared" si="14"/>
        <v>139.31357201834859</v>
      </c>
      <c r="I41" s="187">
        <f t="shared" si="14"/>
        <v>147.37303486238531</v>
      </c>
      <c r="J41" s="187">
        <f t="shared" si="14"/>
        <v>155.92067088440371</v>
      </c>
      <c r="K41" s="187">
        <f t="shared" si="14"/>
        <v>164.96406979569912</v>
      </c>
      <c r="L41" s="187">
        <f t="shared" si="14"/>
        <v>174.53198584384964</v>
      </c>
      <c r="M41" s="121"/>
      <c r="N41" s="121"/>
      <c r="O41" s="119"/>
      <c r="P41" s="119"/>
      <c r="Q41" s="119"/>
      <c r="R41" s="119"/>
      <c r="S41" s="119"/>
      <c r="T41" s="119"/>
      <c r="U41" s="119"/>
      <c r="V41" s="119"/>
    </row>
    <row r="42" spans="1:22" ht="12.75" customHeight="1" x14ac:dyDescent="0.25">
      <c r="C42" s="120"/>
      <c r="D42" s="107"/>
      <c r="E42" s="107"/>
      <c r="F42" s="107"/>
      <c r="G42" s="107"/>
      <c r="H42" s="107"/>
      <c r="I42" s="107"/>
      <c r="J42" s="107"/>
      <c r="K42" s="107"/>
      <c r="L42" s="107"/>
      <c r="M42" s="107"/>
      <c r="N42" s="107"/>
    </row>
    <row r="43" spans="1:22" ht="12.75" customHeight="1" x14ac:dyDescent="0.25">
      <c r="B43" s="97" t="s">
        <v>252</v>
      </c>
      <c r="C43" s="97" t="s">
        <v>253</v>
      </c>
      <c r="D43" s="124">
        <f>170000000/100000</f>
        <v>1700</v>
      </c>
      <c r="E43" s="107"/>
      <c r="F43" s="107"/>
      <c r="G43" s="107"/>
      <c r="H43" s="107"/>
      <c r="I43" s="107"/>
      <c r="J43" s="107"/>
      <c r="K43" s="107"/>
      <c r="L43" s="107"/>
      <c r="M43" s="107"/>
      <c r="N43" s="107"/>
    </row>
    <row r="44" spans="1:22" ht="12.75" customHeight="1" x14ac:dyDescent="0.25">
      <c r="B44" s="97" t="s">
        <v>174</v>
      </c>
      <c r="C44" s="97" t="s">
        <v>166</v>
      </c>
      <c r="D44" s="107">
        <f t="shared" ref="D44:L44" si="15">(D4*$D$43)/1000000</f>
        <v>0</v>
      </c>
      <c r="E44" s="107">
        <f t="shared" si="15"/>
        <v>0</v>
      </c>
      <c r="F44" s="107">
        <f t="shared" si="15"/>
        <v>170</v>
      </c>
      <c r="G44" s="107">
        <f t="shared" si="15"/>
        <v>170</v>
      </c>
      <c r="H44" s="107">
        <f t="shared" si="15"/>
        <v>374</v>
      </c>
      <c r="I44" s="107">
        <f t="shared" si="15"/>
        <v>374</v>
      </c>
      <c r="J44" s="107">
        <f t="shared" si="15"/>
        <v>374</v>
      </c>
      <c r="K44" s="107">
        <f t="shared" si="15"/>
        <v>374</v>
      </c>
      <c r="L44" s="107">
        <f t="shared" si="15"/>
        <v>374</v>
      </c>
      <c r="M44" s="107"/>
      <c r="N44" s="107"/>
      <c r="O44" s="115"/>
      <c r="Q44" s="115"/>
    </row>
    <row r="45" spans="1:22" ht="12.75" customHeight="1" x14ac:dyDescent="0.25">
      <c r="D45" s="107"/>
      <c r="E45" s="107"/>
      <c r="F45" s="107"/>
      <c r="G45" s="107"/>
      <c r="H45" s="107"/>
      <c r="I45" s="107"/>
      <c r="J45" s="107"/>
      <c r="K45" s="107"/>
      <c r="L45" s="107"/>
      <c r="M45" s="107"/>
      <c r="N45" s="107"/>
      <c r="Q45" s="115"/>
    </row>
    <row r="46" spans="1:22" ht="12.75" customHeight="1" x14ac:dyDescent="0.25">
      <c r="B46" s="154" t="s">
        <v>612</v>
      </c>
      <c r="D46" s="107"/>
      <c r="E46" s="107"/>
      <c r="F46" s="107"/>
      <c r="G46" s="107"/>
      <c r="H46" s="107"/>
      <c r="I46" s="107"/>
      <c r="J46" s="107"/>
      <c r="K46" s="107"/>
      <c r="L46" s="107"/>
      <c r="M46" s="107"/>
      <c r="N46" s="107"/>
      <c r="Q46" s="115"/>
    </row>
    <row r="47" spans="1:22" ht="12.75" customHeight="1" x14ac:dyDescent="0.25">
      <c r="B47" s="169" t="s">
        <v>254</v>
      </c>
      <c r="C47" s="127">
        <f>'Bioetanooli abitabelid'!C44</f>
        <v>0.307</v>
      </c>
    </row>
    <row r="48" spans="1:22" ht="12.75" customHeight="1" x14ac:dyDescent="0.25">
      <c r="B48" s="169" t="s">
        <v>255</v>
      </c>
      <c r="C48" s="97" t="s">
        <v>178</v>
      </c>
      <c r="D48" s="115">
        <f>($C$47*C47)/1000</f>
        <v>9.4248999999999998E-5</v>
      </c>
      <c r="E48" s="115">
        <f t="shared" ref="E48:L49" si="16">($C$47*E10)/1000</f>
        <v>0</v>
      </c>
      <c r="F48" s="115">
        <f t="shared" si="16"/>
        <v>0.23025000000000001</v>
      </c>
      <c r="G48" s="115">
        <f t="shared" si="16"/>
        <v>0.23025000000000001</v>
      </c>
      <c r="H48" s="115">
        <f t="shared" si="16"/>
        <v>0.50655000000000006</v>
      </c>
      <c r="I48" s="115">
        <f t="shared" si="16"/>
        <v>0.50655000000000006</v>
      </c>
      <c r="J48" s="115">
        <f t="shared" si="16"/>
        <v>0.50655000000000006</v>
      </c>
      <c r="K48" s="115">
        <f t="shared" si="16"/>
        <v>0.50655000000000006</v>
      </c>
      <c r="L48" s="115">
        <f t="shared" si="16"/>
        <v>0.50655000000000006</v>
      </c>
      <c r="M48" s="128"/>
      <c r="N48" s="128"/>
    </row>
    <row r="49" spans="1:22" ht="12.75" customHeight="1" x14ac:dyDescent="0.25">
      <c r="B49" s="168" t="s">
        <v>255</v>
      </c>
      <c r="C49" s="95" t="s">
        <v>179</v>
      </c>
      <c r="D49" s="157">
        <f>($C$47*D11)/1000</f>
        <v>0</v>
      </c>
      <c r="E49" s="157">
        <f t="shared" si="16"/>
        <v>0</v>
      </c>
      <c r="F49" s="157">
        <f t="shared" si="16"/>
        <v>0.82889999999999997</v>
      </c>
      <c r="G49" s="157">
        <f t="shared" si="16"/>
        <v>0.82889999999999997</v>
      </c>
      <c r="H49" s="157">
        <f t="shared" si="16"/>
        <v>1.82358</v>
      </c>
      <c r="I49" s="157">
        <f t="shared" si="16"/>
        <v>1.82358</v>
      </c>
      <c r="J49" s="157">
        <f t="shared" si="16"/>
        <v>1.82358</v>
      </c>
      <c r="K49" s="157">
        <f t="shared" si="16"/>
        <v>1.82358</v>
      </c>
      <c r="L49" s="157">
        <f t="shared" si="16"/>
        <v>1.82358</v>
      </c>
      <c r="M49" s="128"/>
      <c r="N49" s="128"/>
    </row>
    <row r="50" spans="1:22" ht="12.75" customHeight="1" x14ac:dyDescent="0.25">
      <c r="A50" s="156"/>
      <c r="B50" s="160" t="s">
        <v>608</v>
      </c>
      <c r="C50" s="107"/>
      <c r="D50" s="107"/>
      <c r="E50" s="107"/>
      <c r="F50" s="107"/>
      <c r="G50" s="107"/>
      <c r="H50" s="107"/>
      <c r="I50" s="107"/>
      <c r="J50" s="107"/>
      <c r="K50" s="107"/>
      <c r="L50" s="107"/>
      <c r="M50" s="107"/>
      <c r="N50" s="107"/>
    </row>
    <row r="51" spans="1:22" ht="12.75" customHeight="1" x14ac:dyDescent="0.25">
      <c r="A51" s="201" t="s">
        <v>256</v>
      </c>
      <c r="B51" s="177" t="s">
        <v>623</v>
      </c>
      <c r="C51" s="154" t="s">
        <v>181</v>
      </c>
      <c r="D51" s="154">
        <f t="shared" ref="D51:L51" si="17">SUM(D52:D53)</f>
        <v>0</v>
      </c>
      <c r="E51" s="154">
        <f t="shared" si="17"/>
        <v>0</v>
      </c>
      <c r="F51" s="204">
        <f t="shared" si="17"/>
        <v>67.83</v>
      </c>
      <c r="G51" s="204">
        <f t="shared" si="17"/>
        <v>67.83</v>
      </c>
      <c r="H51" s="204">
        <f t="shared" si="17"/>
        <v>149.226</v>
      </c>
      <c r="I51" s="204">
        <f t="shared" si="17"/>
        <v>149.226</v>
      </c>
      <c r="J51" s="204">
        <f t="shared" si="17"/>
        <v>149.226</v>
      </c>
      <c r="K51" s="204">
        <f t="shared" si="17"/>
        <v>149.226</v>
      </c>
      <c r="L51" s="204">
        <f t="shared" si="17"/>
        <v>149.226</v>
      </c>
      <c r="M51" s="119"/>
      <c r="N51" s="119"/>
      <c r="O51" s="119"/>
      <c r="P51" s="119"/>
      <c r="Q51" s="119"/>
      <c r="R51" s="119"/>
      <c r="S51" s="119"/>
      <c r="T51" s="119"/>
      <c r="U51" s="119"/>
      <c r="V51" s="119"/>
    </row>
    <row r="52" spans="1:22" ht="12.75" customHeight="1" x14ac:dyDescent="0.25">
      <c r="A52" s="155">
        <f>'Bioetanooli abitabelid'!D36</f>
        <v>677.2</v>
      </c>
      <c r="B52" s="168" t="s">
        <v>258</v>
      </c>
      <c r="C52" s="95" t="s">
        <v>181</v>
      </c>
      <c r="D52" s="95">
        <f>$A$52*D4</f>
        <v>0</v>
      </c>
      <c r="E52" s="95">
        <f>$A$52*E4</f>
        <v>0</v>
      </c>
      <c r="F52" s="199">
        <f>($A$52*F4)/1000000</f>
        <v>67.72</v>
      </c>
      <c r="G52" s="199">
        <f t="shared" ref="G52:L52" si="18">($A$52*G4)/1000000</f>
        <v>67.72</v>
      </c>
      <c r="H52" s="199">
        <f t="shared" si="18"/>
        <v>148.98400000000001</v>
      </c>
      <c r="I52" s="199">
        <f t="shared" si="18"/>
        <v>148.98400000000001</v>
      </c>
      <c r="J52" s="199">
        <f t="shared" si="18"/>
        <v>148.98400000000001</v>
      </c>
      <c r="K52" s="199">
        <f t="shared" si="18"/>
        <v>148.98400000000001</v>
      </c>
      <c r="L52" s="199">
        <f t="shared" si="18"/>
        <v>148.98400000000001</v>
      </c>
      <c r="M52" s="113" t="s">
        <v>621</v>
      </c>
      <c r="N52" s="112"/>
    </row>
    <row r="53" spans="1:22" ht="12.75" customHeight="1" x14ac:dyDescent="0.25">
      <c r="A53" s="155">
        <f>'Bioetanooli abitabelid'!D37</f>
        <v>1.1000000000000001</v>
      </c>
      <c r="B53" s="170" t="s">
        <v>620</v>
      </c>
      <c r="C53" s="95" t="s">
        <v>181</v>
      </c>
      <c r="D53" s="95">
        <f>$A$53*D4</f>
        <v>0</v>
      </c>
      <c r="E53" s="95">
        <f>$A$53*E4</f>
        <v>0</v>
      </c>
      <c r="F53" s="96">
        <f t="shared" ref="F53:L53" si="19">($A$53*F4)/1000000</f>
        <v>0.11000000000000001</v>
      </c>
      <c r="G53" s="96">
        <f t="shared" si="19"/>
        <v>0.11000000000000001</v>
      </c>
      <c r="H53" s="96">
        <f t="shared" si="19"/>
        <v>0.24200000000000002</v>
      </c>
      <c r="I53" s="96">
        <f t="shared" si="19"/>
        <v>0.24200000000000002</v>
      </c>
      <c r="J53" s="96">
        <f t="shared" si="19"/>
        <v>0.24200000000000002</v>
      </c>
      <c r="K53" s="96">
        <f t="shared" si="19"/>
        <v>0.24200000000000002</v>
      </c>
      <c r="L53" s="96">
        <f t="shared" si="19"/>
        <v>0.24200000000000002</v>
      </c>
    </row>
    <row r="54" spans="1:22" ht="13.2" x14ac:dyDescent="0.25">
      <c r="B54" s="177" t="s">
        <v>260</v>
      </c>
      <c r="C54" s="154" t="s">
        <v>181</v>
      </c>
      <c r="D54" s="225">
        <f>(D30*D11)*1000</f>
        <v>0</v>
      </c>
      <c r="E54" s="225">
        <f>(E30*E11)*1000</f>
        <v>0</v>
      </c>
      <c r="F54" s="225">
        <f>((F30*F11)*1000)/1000000</f>
        <v>59.137616972477062</v>
      </c>
      <c r="G54" s="225">
        <f t="shared" ref="G54:L54" si="20">(G30*G11)/1000</f>
        <v>60.707642201834851</v>
      </c>
      <c r="H54" s="225">
        <f>(H30*H11)/1000</f>
        <v>139.31357201834862</v>
      </c>
      <c r="I54" s="225">
        <f t="shared" si="20"/>
        <v>147.37303486238534</v>
      </c>
      <c r="J54" s="225">
        <f t="shared" si="20"/>
        <v>155.92067088440371</v>
      </c>
      <c r="K54" s="225">
        <f t="shared" si="20"/>
        <v>164.96406979569912</v>
      </c>
      <c r="L54" s="225">
        <f t="shared" si="20"/>
        <v>174.53198584384967</v>
      </c>
      <c r="M54" s="112"/>
      <c r="N54" s="112"/>
    </row>
    <row r="55" spans="1:22" ht="12.75" customHeight="1" x14ac:dyDescent="0.25">
      <c r="A55" s="155" t="s">
        <v>261</v>
      </c>
      <c r="B55" s="130" t="s">
        <v>189</v>
      </c>
      <c r="C55" s="97" t="s">
        <v>7</v>
      </c>
      <c r="D55" s="143"/>
      <c r="E55" s="143"/>
      <c r="F55" s="143"/>
      <c r="G55" s="143"/>
      <c r="H55" s="143"/>
      <c r="I55" s="143"/>
      <c r="J55" s="143"/>
      <c r="K55" s="143"/>
      <c r="L55" s="143"/>
      <c r="M55" s="143"/>
      <c r="N55" s="143"/>
    </row>
    <row r="56" spans="1:22" ht="12.75" customHeight="1" x14ac:dyDescent="0.25">
      <c r="A56" s="202">
        <f>'Bioetanooli abitabelid'!E37</f>
        <v>830</v>
      </c>
      <c r="B56" s="170" t="s">
        <v>636</v>
      </c>
      <c r="C56" s="163" t="s">
        <v>181</v>
      </c>
      <c r="D56" s="164">
        <f>$A$56*D5</f>
        <v>0</v>
      </c>
      <c r="E56" s="164">
        <f>$A$56*E5</f>
        <v>0</v>
      </c>
      <c r="F56" s="164">
        <f>($A$56*F5)/1000000</f>
        <v>83</v>
      </c>
      <c r="G56" s="164">
        <f>($A$56*G5)/1000000</f>
        <v>0</v>
      </c>
      <c r="H56" s="164">
        <f>($A$56*H5)/1000000</f>
        <v>99.6</v>
      </c>
      <c r="I56" s="164">
        <f>$A$56*I5</f>
        <v>0</v>
      </c>
      <c r="J56" s="164">
        <f>$A$56*J5</f>
        <v>0</v>
      </c>
      <c r="K56" s="164">
        <f>$A$56*K5</f>
        <v>0</v>
      </c>
      <c r="L56" s="164">
        <f>$A$56*L5</f>
        <v>0</v>
      </c>
      <c r="M56" s="113" t="s">
        <v>624</v>
      </c>
      <c r="N56" s="144"/>
      <c r="O56" s="143"/>
    </row>
    <row r="57" spans="1:22" ht="12.75" customHeight="1" x14ac:dyDescent="0.25">
      <c r="A57" s="202">
        <v>50</v>
      </c>
      <c r="B57" s="168" t="s">
        <v>193</v>
      </c>
      <c r="C57" s="95" t="s">
        <v>181</v>
      </c>
      <c r="D57" s="165">
        <f>$A$57*D5</f>
        <v>0</v>
      </c>
      <c r="E57" s="165">
        <f>$A$57*E5</f>
        <v>0</v>
      </c>
      <c r="F57" s="165">
        <f>($A$57*F5)/1000000</f>
        <v>5</v>
      </c>
      <c r="G57" s="165">
        <f>($A$57*G5)/1000000</f>
        <v>0</v>
      </c>
      <c r="H57" s="165">
        <f>($A$57*H5)/1000000</f>
        <v>6</v>
      </c>
      <c r="I57" s="165">
        <f>$A$57*I5</f>
        <v>0</v>
      </c>
      <c r="J57" s="165">
        <f>$A$57*J5</f>
        <v>0</v>
      </c>
      <c r="K57" s="165">
        <f>$A$57*K5</f>
        <v>0</v>
      </c>
      <c r="L57" s="165">
        <f>$A$57*L5</f>
        <v>0</v>
      </c>
      <c r="M57" s="113" t="s">
        <v>622</v>
      </c>
      <c r="N57" s="112"/>
    </row>
    <row r="58" spans="1:22" ht="12.75" customHeight="1" x14ac:dyDescent="0.25">
      <c r="A58" s="583">
        <v>0.5</v>
      </c>
      <c r="B58" s="584" t="s">
        <v>1118</v>
      </c>
      <c r="C58" s="585" t="s">
        <v>181</v>
      </c>
      <c r="D58" s="586">
        <v>0</v>
      </c>
      <c r="E58" s="586">
        <v>0</v>
      </c>
      <c r="F58" s="586">
        <f>F56*A58</f>
        <v>41.5</v>
      </c>
      <c r="G58" s="586">
        <v>0</v>
      </c>
      <c r="H58" s="586">
        <f>H56*A58</f>
        <v>49.8</v>
      </c>
      <c r="I58" s="586">
        <v>0</v>
      </c>
      <c r="J58" s="586">
        <v>0</v>
      </c>
      <c r="K58" s="586">
        <v>0</v>
      </c>
      <c r="L58" s="586">
        <v>0</v>
      </c>
      <c r="M58" s="113"/>
      <c r="N58" s="112"/>
    </row>
    <row r="59" spans="1:22" ht="12.75" customHeight="1" x14ac:dyDescent="0.25">
      <c r="B59" s="130" t="s">
        <v>195</v>
      </c>
      <c r="D59" s="97" t="s">
        <v>7</v>
      </c>
    </row>
    <row r="60" spans="1:22" ht="12.75" customHeight="1" x14ac:dyDescent="0.25">
      <c r="A60" s="200">
        <f>'Bioetanooli abitabelid'!B59</f>
        <v>1.4463909652634745</v>
      </c>
      <c r="B60" s="95" t="s">
        <v>263</v>
      </c>
      <c r="C60" s="95" t="s">
        <v>196</v>
      </c>
      <c r="D60" s="165">
        <f t="shared" ref="D60:L60" si="21">D4/$A$60</f>
        <v>0</v>
      </c>
      <c r="E60" s="165">
        <f t="shared" si="21"/>
        <v>0</v>
      </c>
      <c r="F60" s="165">
        <f t="shared" si="21"/>
        <v>69137.600000000006</v>
      </c>
      <c r="G60" s="165">
        <f t="shared" si="21"/>
        <v>69137.600000000006</v>
      </c>
      <c r="H60" s="165">
        <f t="shared" si="21"/>
        <v>152102.72</v>
      </c>
      <c r="I60" s="165">
        <f t="shared" si="21"/>
        <v>152102.72</v>
      </c>
      <c r="J60" s="165">
        <f t="shared" si="21"/>
        <v>152102.72</v>
      </c>
      <c r="K60" s="165">
        <f t="shared" si="21"/>
        <v>152102.72</v>
      </c>
      <c r="L60" s="165">
        <f t="shared" si="21"/>
        <v>152102.72</v>
      </c>
      <c r="M60" s="108" t="s">
        <v>639</v>
      </c>
      <c r="N60" s="107"/>
      <c r="O60" s="107"/>
      <c r="P60" s="115"/>
      <c r="Q60" s="112"/>
    </row>
    <row r="61" spans="1:22" ht="12.75" customHeight="1" x14ac:dyDescent="0.25">
      <c r="A61" s="155" t="s">
        <v>264</v>
      </c>
      <c r="B61" s="97" t="s">
        <v>265</v>
      </c>
      <c r="C61" s="97" t="s">
        <v>214</v>
      </c>
      <c r="D61" s="112">
        <f t="shared" ref="D61:L61" si="22">$A$62*D4</f>
        <v>0</v>
      </c>
      <c r="E61" s="112">
        <f t="shared" si="22"/>
        <v>0</v>
      </c>
      <c r="F61" s="112">
        <f t="shared" si="22"/>
        <v>134000</v>
      </c>
      <c r="G61" s="112">
        <f t="shared" si="22"/>
        <v>134000</v>
      </c>
      <c r="H61" s="112">
        <f t="shared" si="22"/>
        <v>294800</v>
      </c>
      <c r="I61" s="112">
        <f t="shared" si="22"/>
        <v>294800</v>
      </c>
      <c r="J61" s="112">
        <f t="shared" si="22"/>
        <v>294800</v>
      </c>
      <c r="K61" s="112">
        <f t="shared" si="22"/>
        <v>294800</v>
      </c>
      <c r="L61" s="112">
        <f t="shared" si="22"/>
        <v>294800</v>
      </c>
      <c r="M61" s="112"/>
      <c r="N61" s="112"/>
    </row>
    <row r="62" spans="1:22" ht="12.75" customHeight="1" x14ac:dyDescent="0.25">
      <c r="A62" s="200">
        <v>1.34</v>
      </c>
      <c r="B62" s="304" t="s">
        <v>1119</v>
      </c>
      <c r="C62" s="95" t="s">
        <v>166</v>
      </c>
      <c r="D62" s="96">
        <f t="shared" ref="D62:E62" si="23">($A$63*D3)/1000000</f>
        <v>0</v>
      </c>
      <c r="E62" s="96">
        <f t="shared" si="23"/>
        <v>0</v>
      </c>
      <c r="F62" s="96">
        <f>($A$63*F61)*1000/1000000</f>
        <v>26.8</v>
      </c>
      <c r="G62" s="96">
        <f t="shared" ref="G62:L62" si="24">($A$63*G61)*1000/1000000</f>
        <v>26.8</v>
      </c>
      <c r="H62" s="96">
        <f t="shared" si="24"/>
        <v>58.96</v>
      </c>
      <c r="I62" s="96">
        <f t="shared" si="24"/>
        <v>58.96</v>
      </c>
      <c r="J62" s="96">
        <f t="shared" si="24"/>
        <v>58.96</v>
      </c>
      <c r="K62" s="96">
        <f t="shared" si="24"/>
        <v>58.96</v>
      </c>
      <c r="L62" s="96">
        <f t="shared" si="24"/>
        <v>58.96</v>
      </c>
      <c r="M62" s="115"/>
      <c r="N62" s="115"/>
      <c r="O62" s="115">
        <f>200*134000</f>
        <v>26800000</v>
      </c>
    </row>
    <row r="63" spans="1:22" ht="12.75" customHeight="1" x14ac:dyDescent="0.25">
      <c r="A63" s="200">
        <f>'Bioetanooli abitabelid'!B65</f>
        <v>0.2</v>
      </c>
      <c r="B63" s="97" t="s">
        <v>267</v>
      </c>
      <c r="C63" s="97" t="s">
        <v>247</v>
      </c>
      <c r="O63" s="115"/>
    </row>
    <row r="64" spans="1:22" ht="12.75" customHeight="1" x14ac:dyDescent="0.25">
      <c r="A64" s="155">
        <f>abitabelid!B177</f>
        <v>83.8</v>
      </c>
      <c r="B64" s="97" t="s">
        <v>212</v>
      </c>
      <c r="C64" s="97" t="s">
        <v>65</v>
      </c>
      <c r="D64" s="97">
        <f>'kütuste tarbimine EE'!C6+'kütuste tarbimine EE'!C7</f>
        <v>29658</v>
      </c>
      <c r="E64" s="97">
        <f>'kütuste tarbimine EE'!D6+'kütuste tarbimine EE'!D7</f>
        <v>30505.144790424099</v>
      </c>
      <c r="F64" s="97">
        <f>'kütuste tarbimine EE'!E6+'kütuste tarbimine EE'!E7</f>
        <v>26790.915284128507</v>
      </c>
      <c r="G64" s="97">
        <f>'kütuste tarbimine EE'!F6+'kütuste tarbimine EE'!F7</f>
        <v>22257.868043989209</v>
      </c>
      <c r="H64" s="97">
        <f>'kütuste tarbimine EE'!G6+'kütuste tarbimine EE'!G7</f>
        <v>17724.820803849914</v>
      </c>
      <c r="I64" s="97">
        <f>'kütuste tarbimine EE'!H6+'kütuste tarbimine EE'!H7</f>
        <v>14811.297539860303</v>
      </c>
      <c r="J64" s="97">
        <f>'kütuste tarbimine EE'!I6+'kütuste tarbimine EE'!I7</f>
        <v>11897.774275870692</v>
      </c>
      <c r="K64" s="97">
        <f>'kütuste tarbimine EE'!J6+'kütuste tarbimine EE'!J7</f>
        <v>10441.012643875889</v>
      </c>
      <c r="L64" s="97">
        <f>'kütuste tarbimine EE'!K6+'kütuste tarbimine EE'!K7</f>
        <v>6070.727747891473</v>
      </c>
    </row>
    <row r="65" spans="1:14" ht="12.75" customHeight="1" x14ac:dyDescent="0.25">
      <c r="A65" s="155" t="s">
        <v>7</v>
      </c>
      <c r="B65" s="97" t="s">
        <v>213</v>
      </c>
      <c r="C65" s="97" t="s">
        <v>214</v>
      </c>
      <c r="D65" s="112">
        <f t="shared" ref="D65:L65" si="25">D64*$A$64</f>
        <v>2485340.4</v>
      </c>
      <c r="E65" s="112">
        <f t="shared" si="25"/>
        <v>2556331.1334375395</v>
      </c>
      <c r="F65" s="112">
        <f t="shared" si="25"/>
        <v>2245078.7008099686</v>
      </c>
      <c r="G65" s="112">
        <f t="shared" si="25"/>
        <v>1865209.3420862956</v>
      </c>
      <c r="H65" s="112">
        <f t="shared" si="25"/>
        <v>1485339.9833626228</v>
      </c>
      <c r="I65" s="112">
        <f t="shared" si="25"/>
        <v>1241186.7338402933</v>
      </c>
      <c r="J65" s="112">
        <f t="shared" si="25"/>
        <v>997033.48431796394</v>
      </c>
      <c r="K65" s="112">
        <f t="shared" si="25"/>
        <v>874956.85955679941</v>
      </c>
      <c r="L65" s="112">
        <f t="shared" si="25"/>
        <v>508726.98527330544</v>
      </c>
      <c r="M65" s="112"/>
      <c r="N65" s="112"/>
    </row>
    <row r="66" spans="1:14" ht="39.6" x14ac:dyDescent="0.25">
      <c r="A66" s="203">
        <f>'Bioetanooli abitabelid'!B82</f>
        <v>70</v>
      </c>
      <c r="B66" s="258" t="s">
        <v>726</v>
      </c>
      <c r="C66" s="258" t="s">
        <v>214</v>
      </c>
      <c r="D66" s="260">
        <f t="shared" ref="D66:L66" si="26">$A$66*D11</f>
        <v>0</v>
      </c>
      <c r="E66" s="260">
        <f t="shared" si="26"/>
        <v>0</v>
      </c>
      <c r="F66" s="260">
        <f>$A$66*F11</f>
        <v>189000</v>
      </c>
      <c r="G66" s="260">
        <f t="shared" si="26"/>
        <v>189000</v>
      </c>
      <c r="H66" s="260">
        <f t="shared" si="26"/>
        <v>415800</v>
      </c>
      <c r="I66" s="260">
        <f t="shared" si="26"/>
        <v>415800</v>
      </c>
      <c r="J66" s="260">
        <f t="shared" si="26"/>
        <v>415800</v>
      </c>
      <c r="K66" s="260">
        <f t="shared" si="26"/>
        <v>415800</v>
      </c>
      <c r="L66" s="260">
        <f t="shared" si="26"/>
        <v>415800</v>
      </c>
      <c r="M66" s="141"/>
      <c r="N66" s="141"/>
    </row>
    <row r="67" spans="1:14" ht="12.75" customHeight="1" x14ac:dyDescent="0.25">
      <c r="A67" s="155">
        <v>1000</v>
      </c>
      <c r="C67" s="97" t="s">
        <v>1166</v>
      </c>
      <c r="D67" s="97">
        <f>D66/$A$67</f>
        <v>0</v>
      </c>
      <c r="E67" s="97">
        <f t="shared" ref="E67:L67" si="27">E66/$A$67</f>
        <v>0</v>
      </c>
      <c r="F67" s="97">
        <f t="shared" si="27"/>
        <v>189</v>
      </c>
      <c r="G67" s="97">
        <f t="shared" si="27"/>
        <v>189</v>
      </c>
      <c r="H67" s="97">
        <f t="shared" si="27"/>
        <v>415.8</v>
      </c>
      <c r="I67" s="97">
        <f t="shared" si="27"/>
        <v>415.8</v>
      </c>
      <c r="J67" s="97">
        <f t="shared" si="27"/>
        <v>415.8</v>
      </c>
      <c r="K67" s="97">
        <f t="shared" si="27"/>
        <v>415.8</v>
      </c>
      <c r="L67" s="97">
        <f t="shared" si="27"/>
        <v>415.8</v>
      </c>
    </row>
    <row r="70" spans="1:14" ht="12.75" customHeight="1" x14ac:dyDescent="0.3">
      <c r="B70" s="181"/>
      <c r="C70" s="90" t="s">
        <v>143</v>
      </c>
      <c r="D70" s="90"/>
      <c r="E70" s="90">
        <v>2015</v>
      </c>
      <c r="F70" s="90">
        <v>2020</v>
      </c>
      <c r="G70" s="90">
        <v>2025</v>
      </c>
      <c r="H70" s="90">
        <v>2030</v>
      </c>
      <c r="I70" s="90">
        <v>2035</v>
      </c>
      <c r="J70" s="90">
        <v>2040</v>
      </c>
      <c r="K70" s="90">
        <v>2045</v>
      </c>
      <c r="L70" s="90">
        <v>2050</v>
      </c>
      <c r="M70" s="192"/>
      <c r="N70" s="192"/>
    </row>
    <row r="71" spans="1:14" ht="12.75" customHeight="1" x14ac:dyDescent="0.3">
      <c r="B71" s="182" t="s">
        <v>609</v>
      </c>
      <c r="C71" s="92" t="s">
        <v>65</v>
      </c>
      <c r="D71" s="207"/>
      <c r="E71" s="207">
        <f>E49*1000</f>
        <v>0</v>
      </c>
      <c r="F71" s="207">
        <f t="shared" ref="F71:L71" si="28">F49*1000</f>
        <v>828.9</v>
      </c>
      <c r="G71" s="207">
        <f t="shared" si="28"/>
        <v>828.9</v>
      </c>
      <c r="H71" s="207">
        <f t="shared" si="28"/>
        <v>1823.58</v>
      </c>
      <c r="I71" s="207">
        <f t="shared" si="28"/>
        <v>1823.58</v>
      </c>
      <c r="J71" s="207">
        <f t="shared" si="28"/>
        <v>1823.58</v>
      </c>
      <c r="K71" s="207">
        <f t="shared" si="28"/>
        <v>1823.58</v>
      </c>
      <c r="L71" s="207">
        <f t="shared" si="28"/>
        <v>1823.58</v>
      </c>
      <c r="M71" s="193"/>
      <c r="N71" s="193"/>
    </row>
    <row r="72" spans="1:14" ht="12.75" customHeight="1" x14ac:dyDescent="0.3">
      <c r="B72" s="183" t="s">
        <v>610</v>
      </c>
      <c r="C72" s="92" t="s">
        <v>181</v>
      </c>
      <c r="D72" s="92"/>
      <c r="E72" s="166">
        <f>SUM(E73:E78)</f>
        <v>0</v>
      </c>
      <c r="F72" s="92">
        <f>SUM(F73:F78)</f>
        <v>127.43761697247706</v>
      </c>
      <c r="G72" s="92">
        <f t="shared" ref="G72:L72" si="29">SUM(G73:G78)</f>
        <v>87.507642201834855</v>
      </c>
      <c r="H72" s="92">
        <f t="shared" si="29"/>
        <v>248.07357201834861</v>
      </c>
      <c r="I72" s="92">
        <f t="shared" si="29"/>
        <v>206.33303486238532</v>
      </c>
      <c r="J72" s="92">
        <f t="shared" si="29"/>
        <v>214.88067088440371</v>
      </c>
      <c r="K72" s="92">
        <f t="shared" si="29"/>
        <v>223.92406979569913</v>
      </c>
      <c r="L72" s="92">
        <f t="shared" si="29"/>
        <v>233.49198584384965</v>
      </c>
      <c r="M72" s="194"/>
      <c r="N72" s="194"/>
    </row>
    <row r="73" spans="1:14" ht="12.75" customHeight="1" x14ac:dyDescent="0.3">
      <c r="B73" s="184" t="s">
        <v>740</v>
      </c>
      <c r="C73" s="92" t="s">
        <v>181</v>
      </c>
      <c r="D73" s="92"/>
      <c r="E73" s="166">
        <f>E$51*$C106</f>
        <v>0</v>
      </c>
      <c r="F73" s="92">
        <f>F$51*$C106</f>
        <v>12.265150684931507</v>
      </c>
      <c r="G73" s="92">
        <f t="shared" ref="G73:L73" si="30">G$51*$C106</f>
        <v>12.265150684931507</v>
      </c>
      <c r="H73" s="92">
        <f t="shared" si="30"/>
        <v>26.983331506849314</v>
      </c>
      <c r="I73" s="92">
        <f t="shared" si="30"/>
        <v>26.983331506849314</v>
      </c>
      <c r="J73" s="92">
        <f t="shared" si="30"/>
        <v>26.983331506849314</v>
      </c>
      <c r="K73" s="92">
        <f t="shared" si="30"/>
        <v>26.983331506849314</v>
      </c>
      <c r="L73" s="92">
        <f t="shared" si="30"/>
        <v>26.983331506849314</v>
      </c>
      <c r="M73" s="224" t="s">
        <v>728</v>
      </c>
      <c r="N73" s="194"/>
    </row>
    <row r="74" spans="1:14" ht="12.75" customHeight="1" x14ac:dyDescent="0.3">
      <c r="B74" s="184" t="s">
        <v>590</v>
      </c>
      <c r="C74" s="92" t="s">
        <v>181</v>
      </c>
      <c r="D74" s="92"/>
      <c r="E74" s="166">
        <f t="shared" ref="E74:L74" si="31">E$51*$C108</f>
        <v>0</v>
      </c>
      <c r="F74" s="92">
        <f t="shared" si="31"/>
        <v>37.167123287671231</v>
      </c>
      <c r="G74" s="92">
        <f t="shared" si="31"/>
        <v>37.167123287671231</v>
      </c>
      <c r="H74" s="92">
        <f t="shared" si="31"/>
        <v>81.767671232876708</v>
      </c>
      <c r="I74" s="92">
        <f t="shared" si="31"/>
        <v>81.767671232876708</v>
      </c>
      <c r="J74" s="92">
        <f t="shared" si="31"/>
        <v>81.767671232876708</v>
      </c>
      <c r="K74" s="92">
        <f t="shared" si="31"/>
        <v>81.767671232876708</v>
      </c>
      <c r="L74" s="92">
        <f t="shared" si="31"/>
        <v>81.767671232876708</v>
      </c>
      <c r="M74" s="194"/>
      <c r="N74" s="194"/>
    </row>
    <row r="75" spans="1:14" ht="12.75" customHeight="1" x14ac:dyDescent="0.3">
      <c r="B75" s="184" t="s">
        <v>741</v>
      </c>
      <c r="C75" s="92" t="s">
        <v>181</v>
      </c>
      <c r="D75" s="92"/>
      <c r="E75" s="166">
        <f>E$51*$C107</f>
        <v>0</v>
      </c>
      <c r="F75" s="92">
        <f t="shared" ref="F75:L75" si="32">F$51*$C107</f>
        <v>18.397726027397258</v>
      </c>
      <c r="G75" s="92">
        <f t="shared" si="32"/>
        <v>18.397726027397258</v>
      </c>
      <c r="H75" s="92">
        <f t="shared" si="32"/>
        <v>40.474997260273973</v>
      </c>
      <c r="I75" s="92">
        <f t="shared" si="32"/>
        <v>40.474997260273973</v>
      </c>
      <c r="J75" s="92">
        <f t="shared" si="32"/>
        <v>40.474997260273973</v>
      </c>
      <c r="K75" s="92">
        <f t="shared" si="32"/>
        <v>40.474997260273973</v>
      </c>
      <c r="L75" s="92">
        <f t="shared" si="32"/>
        <v>40.474997260273973</v>
      </c>
      <c r="M75" s="194"/>
      <c r="N75" s="194"/>
    </row>
    <row r="76" spans="1:14" ht="12.75" customHeight="1" x14ac:dyDescent="0.3">
      <c r="B76" s="184" t="s">
        <v>742</v>
      </c>
      <c r="C76" s="92" t="s">
        <v>181</v>
      </c>
      <c r="D76" s="92"/>
      <c r="E76" s="166">
        <f>SUM($E$81:E81)*$M$76</f>
        <v>0</v>
      </c>
      <c r="F76" s="92">
        <f>SUM($E$81:F81)*$M$76</f>
        <v>4.4000000000000004</v>
      </c>
      <c r="G76" s="92">
        <f>SUM($E$81:G81)*$M$76</f>
        <v>4.4000000000000004</v>
      </c>
      <c r="H76" s="92">
        <f>SUM($E$81:H81)*$M$76</f>
        <v>9.68</v>
      </c>
      <c r="I76" s="92">
        <f>SUM($E$81:I81)*$M$76</f>
        <v>9.68</v>
      </c>
      <c r="J76" s="92">
        <f>SUM($E$81:J81)*$M$76</f>
        <v>9.68</v>
      </c>
      <c r="K76" s="92">
        <f>SUM($E$81:K81)*$M$76</f>
        <v>9.68</v>
      </c>
      <c r="L76" s="92">
        <f>SUM($E$81:L81)*$M$76</f>
        <v>9.68</v>
      </c>
      <c r="M76" s="284">
        <v>0.05</v>
      </c>
      <c r="N76" s="194"/>
    </row>
    <row r="77" spans="1:14" ht="12.75" customHeight="1" x14ac:dyDescent="0.3">
      <c r="B77" s="184" t="s">
        <v>628</v>
      </c>
      <c r="C77" s="92" t="s">
        <v>181</v>
      </c>
      <c r="D77" s="92"/>
      <c r="E77" s="166">
        <f>E$51*$D$103</f>
        <v>0</v>
      </c>
      <c r="F77" s="92">
        <f>F$51*$D$103</f>
        <v>0.92917808219178077</v>
      </c>
      <c r="G77" s="92">
        <f t="shared" ref="G77:L77" si="33">G$51*$D$103</f>
        <v>0.92917808219178077</v>
      </c>
      <c r="H77" s="92">
        <f t="shared" si="33"/>
        <v>2.0441917808219179</v>
      </c>
      <c r="I77" s="92">
        <f t="shared" si="33"/>
        <v>2.0441917808219179</v>
      </c>
      <c r="J77" s="92">
        <f t="shared" si="33"/>
        <v>2.0441917808219179</v>
      </c>
      <c r="K77" s="92">
        <f t="shared" si="33"/>
        <v>2.0441917808219179</v>
      </c>
      <c r="L77" s="92">
        <f t="shared" si="33"/>
        <v>2.0441917808219179</v>
      </c>
      <c r="M77" s="194"/>
      <c r="N77" s="194"/>
    </row>
    <row r="78" spans="1:14" ht="12.75" customHeight="1" x14ac:dyDescent="0.3">
      <c r="B78" s="184" t="s">
        <v>631</v>
      </c>
      <c r="C78" s="92" t="s">
        <v>181</v>
      </c>
      <c r="D78" s="92"/>
      <c r="E78" s="166">
        <f>(E79+E80+E87)-SUM(E73:E77)</f>
        <v>0</v>
      </c>
      <c r="F78" s="245">
        <f t="shared" ref="F78:L78" si="34">(F79+F80+F87)-SUM(F73:F77)</f>
        <v>54.278438890285273</v>
      </c>
      <c r="G78" s="245">
        <f t="shared" si="34"/>
        <v>14.348464119643069</v>
      </c>
      <c r="H78" s="245">
        <f t="shared" si="34"/>
        <v>87.123380237526703</v>
      </c>
      <c r="I78" s="245">
        <f t="shared" si="34"/>
        <v>45.382843081563408</v>
      </c>
      <c r="J78" s="245">
        <f t="shared" si="34"/>
        <v>53.930479103581803</v>
      </c>
      <c r="K78" s="245">
        <f t="shared" si="34"/>
        <v>62.973878014877215</v>
      </c>
      <c r="L78" s="245">
        <f t="shared" si="34"/>
        <v>72.541794063027737</v>
      </c>
      <c r="M78" s="194" t="s">
        <v>640</v>
      </c>
      <c r="N78" s="194"/>
    </row>
    <row r="79" spans="1:14" ht="12.75" customHeight="1" x14ac:dyDescent="0.3">
      <c r="B79" s="182" t="s">
        <v>727</v>
      </c>
      <c r="C79" s="92" t="s">
        <v>181</v>
      </c>
      <c r="D79" s="92"/>
      <c r="E79" s="166">
        <f>E62</f>
        <v>0</v>
      </c>
      <c r="F79" s="92">
        <f t="shared" ref="F79:L79" si="35">F62</f>
        <v>26.8</v>
      </c>
      <c r="G79" s="92">
        <f t="shared" si="35"/>
        <v>26.8</v>
      </c>
      <c r="H79" s="92">
        <f t="shared" si="35"/>
        <v>58.96</v>
      </c>
      <c r="I79" s="92">
        <f t="shared" si="35"/>
        <v>58.96</v>
      </c>
      <c r="J79" s="92">
        <f t="shared" si="35"/>
        <v>58.96</v>
      </c>
      <c r="K79" s="92">
        <f t="shared" si="35"/>
        <v>58.96</v>
      </c>
      <c r="L79" s="92">
        <f t="shared" si="35"/>
        <v>58.96</v>
      </c>
      <c r="M79" s="194" t="s">
        <v>632</v>
      </c>
      <c r="N79" s="194"/>
    </row>
    <row r="80" spans="1:14" ht="12.75" customHeight="1" x14ac:dyDescent="0.3">
      <c r="B80" s="183" t="s">
        <v>611</v>
      </c>
      <c r="C80" s="92" t="s">
        <v>181</v>
      </c>
      <c r="D80" s="92"/>
      <c r="E80" s="166">
        <f>E41</f>
        <v>0</v>
      </c>
      <c r="F80" s="92">
        <f t="shared" ref="F80:L80" si="36">F41</f>
        <v>59.137616972477062</v>
      </c>
      <c r="G80" s="92">
        <f t="shared" si="36"/>
        <v>60.707642201834851</v>
      </c>
      <c r="H80" s="92">
        <f t="shared" si="36"/>
        <v>139.31357201834859</v>
      </c>
      <c r="I80" s="92">
        <f t="shared" si="36"/>
        <v>147.37303486238531</v>
      </c>
      <c r="J80" s="92">
        <f t="shared" si="36"/>
        <v>155.92067088440371</v>
      </c>
      <c r="K80" s="92">
        <f t="shared" si="36"/>
        <v>164.96406979569912</v>
      </c>
      <c r="L80" s="92">
        <f t="shared" si="36"/>
        <v>174.53198584384964</v>
      </c>
      <c r="M80" s="194"/>
      <c r="N80" s="194"/>
    </row>
    <row r="81" spans="2:14" ht="12.75" customHeight="1" x14ac:dyDescent="0.3">
      <c r="B81" s="183" t="s">
        <v>189</v>
      </c>
      <c r="C81" s="92" t="s">
        <v>181</v>
      </c>
      <c r="D81" s="92"/>
      <c r="E81" s="166">
        <f>SUM(E82:E85)</f>
        <v>0</v>
      </c>
      <c r="F81" s="92">
        <f t="shared" ref="F81:L81" si="37">SUM(F82:F85)</f>
        <v>88</v>
      </c>
      <c r="G81" s="92">
        <f t="shared" si="37"/>
        <v>0</v>
      </c>
      <c r="H81" s="92">
        <f t="shared" si="37"/>
        <v>105.6</v>
      </c>
      <c r="I81" s="92">
        <f t="shared" si="37"/>
        <v>0</v>
      </c>
      <c r="J81" s="92">
        <f t="shared" si="37"/>
        <v>0</v>
      </c>
      <c r="K81" s="92">
        <f t="shared" si="37"/>
        <v>0</v>
      </c>
      <c r="L81" s="92">
        <f t="shared" si="37"/>
        <v>0</v>
      </c>
      <c r="M81" s="194"/>
      <c r="N81" s="194"/>
    </row>
    <row r="82" spans="2:14" ht="12.75" customHeight="1" x14ac:dyDescent="0.3">
      <c r="B82" s="184" t="s">
        <v>190</v>
      </c>
      <c r="C82" s="92" t="s">
        <v>181</v>
      </c>
      <c r="D82" s="92"/>
      <c r="E82" s="166">
        <f>E$56*$M82</f>
        <v>0</v>
      </c>
      <c r="F82" s="92">
        <f t="shared" ref="F82:L83" si="38">F$56*$M82</f>
        <v>19.09</v>
      </c>
      <c r="G82" s="92">
        <f t="shared" si="38"/>
        <v>0</v>
      </c>
      <c r="H82" s="92">
        <f t="shared" si="38"/>
        <v>22.908000000000001</v>
      </c>
      <c r="I82" s="92">
        <f t="shared" si="38"/>
        <v>0</v>
      </c>
      <c r="J82" s="92">
        <f t="shared" si="38"/>
        <v>0</v>
      </c>
      <c r="K82" s="92">
        <f t="shared" si="38"/>
        <v>0</v>
      </c>
      <c r="L82" s="92">
        <f t="shared" si="38"/>
        <v>0</v>
      </c>
      <c r="M82" s="223">
        <v>0.23</v>
      </c>
      <c r="N82" s="224" t="s">
        <v>637</v>
      </c>
    </row>
    <row r="83" spans="2:14" ht="12.75" customHeight="1" x14ac:dyDescent="0.3">
      <c r="B83" s="184" t="s">
        <v>192</v>
      </c>
      <c r="C83" s="92" t="s">
        <v>181</v>
      </c>
      <c r="D83" s="92"/>
      <c r="E83" s="166">
        <f>E$56*$M83</f>
        <v>0</v>
      </c>
      <c r="F83" s="92">
        <f t="shared" si="38"/>
        <v>63.910000000000004</v>
      </c>
      <c r="G83" s="92">
        <f t="shared" si="38"/>
        <v>0</v>
      </c>
      <c r="H83" s="92">
        <f t="shared" si="38"/>
        <v>76.691999999999993</v>
      </c>
      <c r="I83" s="92">
        <f t="shared" si="38"/>
        <v>0</v>
      </c>
      <c r="J83" s="92">
        <f t="shared" si="38"/>
        <v>0</v>
      </c>
      <c r="K83" s="92">
        <f t="shared" si="38"/>
        <v>0</v>
      </c>
      <c r="L83" s="92">
        <f t="shared" si="38"/>
        <v>0</v>
      </c>
      <c r="M83" s="223">
        <f>1-M82</f>
        <v>0.77</v>
      </c>
      <c r="N83" s="194"/>
    </row>
    <row r="84" spans="2:14" ht="12.75" customHeight="1" x14ac:dyDescent="0.3">
      <c r="B84" s="184" t="s">
        <v>193</v>
      </c>
      <c r="C84" s="92" t="s">
        <v>181</v>
      </c>
      <c r="D84" s="92"/>
      <c r="E84" s="166">
        <f>E57</f>
        <v>0</v>
      </c>
      <c r="F84" s="92">
        <f t="shared" ref="F84:L84" si="39">F57</f>
        <v>5</v>
      </c>
      <c r="G84" s="92">
        <f t="shared" si="39"/>
        <v>0</v>
      </c>
      <c r="H84" s="92">
        <f t="shared" si="39"/>
        <v>6</v>
      </c>
      <c r="I84" s="92">
        <f t="shared" si="39"/>
        <v>0</v>
      </c>
      <c r="J84" s="92">
        <f t="shared" si="39"/>
        <v>0</v>
      </c>
      <c r="K84" s="92">
        <f t="shared" si="39"/>
        <v>0</v>
      </c>
      <c r="L84" s="92">
        <f t="shared" si="39"/>
        <v>0</v>
      </c>
      <c r="M84" s="194"/>
      <c r="N84" s="194"/>
    </row>
    <row r="85" spans="2:14" ht="12.75" customHeight="1" x14ac:dyDescent="0.3">
      <c r="B85" s="184" t="s">
        <v>194</v>
      </c>
      <c r="C85" s="92" t="s">
        <v>181</v>
      </c>
      <c r="D85" s="92"/>
      <c r="E85" s="92"/>
      <c r="F85" s="92"/>
      <c r="G85" s="92"/>
      <c r="H85" s="92"/>
      <c r="I85" s="92"/>
      <c r="J85" s="92"/>
      <c r="K85" s="92"/>
      <c r="L85" s="92"/>
      <c r="M85" s="194"/>
      <c r="N85" s="194"/>
    </row>
    <row r="86" spans="2:14" ht="12.75" customHeight="1" x14ac:dyDescent="0.3">
      <c r="B86" s="269" t="s">
        <v>730</v>
      </c>
      <c r="C86" s="245" t="s">
        <v>181</v>
      </c>
      <c r="D86" s="245"/>
      <c r="E86" s="245">
        <f>E39+E79</f>
        <v>0</v>
      </c>
      <c r="F86" s="245">
        <f t="shared" ref="F86:L86" si="40">F39+F79</f>
        <v>61.936221709355195</v>
      </c>
      <c r="G86" s="245">
        <f t="shared" si="40"/>
        <v>56.765376894278056</v>
      </c>
      <c r="H86" s="245">
        <f t="shared" si="40"/>
        <v>159.8394552051605</v>
      </c>
      <c r="I86" s="245">
        <f t="shared" si="40"/>
        <v>173.09581209283283</v>
      </c>
      <c r="J86" s="245">
        <f t="shared" si="40"/>
        <v>187.56642515121399</v>
      </c>
      <c r="K86" s="245">
        <f t="shared" si="40"/>
        <v>199.17863713123572</v>
      </c>
      <c r="L86" s="245">
        <f t="shared" si="40"/>
        <v>220.49306489049906</v>
      </c>
      <c r="M86" s="194" t="s">
        <v>732</v>
      </c>
      <c r="N86" s="194"/>
    </row>
    <row r="87" spans="2:14" ht="12.75" customHeight="1" x14ac:dyDescent="0.3">
      <c r="B87" s="183" t="s">
        <v>594</v>
      </c>
      <c r="C87" s="92" t="s">
        <v>181</v>
      </c>
      <c r="D87" s="92"/>
      <c r="E87" s="92">
        <f>E58</f>
        <v>0</v>
      </c>
      <c r="F87" s="92">
        <f t="shared" ref="F87:L87" si="41">F58</f>
        <v>41.5</v>
      </c>
      <c r="G87" s="92">
        <f t="shared" si="41"/>
        <v>0</v>
      </c>
      <c r="H87" s="92">
        <f t="shared" si="41"/>
        <v>49.8</v>
      </c>
      <c r="I87" s="92">
        <f t="shared" si="41"/>
        <v>0</v>
      </c>
      <c r="J87" s="92">
        <f t="shared" si="41"/>
        <v>0</v>
      </c>
      <c r="K87" s="92">
        <f t="shared" si="41"/>
        <v>0</v>
      </c>
      <c r="L87" s="92">
        <f t="shared" si="41"/>
        <v>0</v>
      </c>
      <c r="M87" s="194"/>
      <c r="N87" s="194"/>
    </row>
    <row r="88" spans="2:14" ht="12.75" customHeight="1" x14ac:dyDescent="0.3">
      <c r="B88" s="183" t="s">
        <v>195</v>
      </c>
      <c r="C88" s="92"/>
      <c r="D88" s="92"/>
      <c r="E88" s="92"/>
      <c r="F88" s="92"/>
      <c r="G88" s="92"/>
      <c r="H88" s="92"/>
      <c r="I88" s="92"/>
      <c r="J88" s="92"/>
      <c r="K88" s="92"/>
      <c r="L88" s="92"/>
      <c r="M88" s="194"/>
      <c r="N88" s="194"/>
    </row>
    <row r="89" spans="2:14" ht="12.75" customHeight="1" x14ac:dyDescent="0.3">
      <c r="B89" s="184" t="s">
        <v>595</v>
      </c>
      <c r="C89" s="92" t="s">
        <v>196</v>
      </c>
      <c r="D89" s="207"/>
      <c r="E89" s="207">
        <v>0</v>
      </c>
      <c r="F89" s="207">
        <v>0</v>
      </c>
      <c r="G89" s="207">
        <v>0</v>
      </c>
      <c r="H89" s="207">
        <v>0</v>
      </c>
      <c r="I89" s="207">
        <v>0</v>
      </c>
      <c r="J89" s="207">
        <v>0</v>
      </c>
      <c r="K89" s="207">
        <v>0</v>
      </c>
      <c r="L89" s="207">
        <v>0</v>
      </c>
      <c r="M89" s="193"/>
      <c r="N89" s="193"/>
    </row>
    <row r="90" spans="2:14" ht="12.75" customHeight="1" x14ac:dyDescent="0.3">
      <c r="B90" s="184" t="s">
        <v>596</v>
      </c>
      <c r="C90" s="92" t="s">
        <v>65</v>
      </c>
      <c r="D90" s="92"/>
      <c r="E90" s="92">
        <f>E11</f>
        <v>0</v>
      </c>
      <c r="F90" s="92">
        <f t="shared" ref="F90:L90" si="42">F11</f>
        <v>2700</v>
      </c>
      <c r="G90" s="92">
        <f t="shared" si="42"/>
        <v>2700</v>
      </c>
      <c r="H90" s="92">
        <f t="shared" si="42"/>
        <v>5940</v>
      </c>
      <c r="I90" s="92">
        <f t="shared" si="42"/>
        <v>5940</v>
      </c>
      <c r="J90" s="92">
        <f t="shared" si="42"/>
        <v>5940</v>
      </c>
      <c r="K90" s="92">
        <f t="shared" si="42"/>
        <v>5940</v>
      </c>
      <c r="L90" s="92">
        <f t="shared" si="42"/>
        <v>5940</v>
      </c>
      <c r="M90" s="194"/>
      <c r="N90" s="194"/>
    </row>
    <row r="91" spans="2:14" ht="12.75" customHeight="1" x14ac:dyDescent="0.3">
      <c r="B91" s="266" t="s">
        <v>598</v>
      </c>
      <c r="C91" s="245" t="s">
        <v>1135</v>
      </c>
      <c r="D91" s="245"/>
      <c r="E91" s="251">
        <f>E66/1000</f>
        <v>0</v>
      </c>
      <c r="F91" s="251">
        <f t="shared" ref="F91:L91" si="43">F66/1000</f>
        <v>189</v>
      </c>
      <c r="G91" s="251">
        <f t="shared" si="43"/>
        <v>189</v>
      </c>
      <c r="H91" s="251">
        <f t="shared" si="43"/>
        <v>415.8</v>
      </c>
      <c r="I91" s="251">
        <f t="shared" si="43"/>
        <v>415.8</v>
      </c>
      <c r="J91" s="251">
        <f t="shared" si="43"/>
        <v>415.8</v>
      </c>
      <c r="K91" s="251">
        <f t="shared" si="43"/>
        <v>415.8</v>
      </c>
      <c r="L91" s="251">
        <f t="shared" si="43"/>
        <v>415.8</v>
      </c>
      <c r="M91" s="194"/>
      <c r="N91" s="194"/>
    </row>
    <row r="95" spans="2:14" ht="12.75" customHeight="1" x14ac:dyDescent="0.25">
      <c r="B95" s="964" t="s">
        <v>527</v>
      </c>
      <c r="C95" s="964" t="s">
        <v>528</v>
      </c>
      <c r="D95" s="964"/>
    </row>
    <row r="96" spans="2:14" ht="12.75" customHeight="1" x14ac:dyDescent="0.25">
      <c r="B96" s="964"/>
      <c r="C96" s="211" t="s">
        <v>531</v>
      </c>
      <c r="D96" s="211" t="s">
        <v>627</v>
      </c>
    </row>
    <row r="97" spans="2:5" ht="12.75" customHeight="1" x14ac:dyDescent="0.25">
      <c r="B97" s="212" t="s">
        <v>533</v>
      </c>
      <c r="C97" s="213">
        <v>0.4</v>
      </c>
      <c r="D97" s="214">
        <f>C97/$C$102</f>
        <v>0.54794520547945202</v>
      </c>
    </row>
    <row r="98" spans="2:5" ht="12.75" customHeight="1" x14ac:dyDescent="0.25">
      <c r="B98" s="220" t="s">
        <v>630</v>
      </c>
      <c r="C98" s="221">
        <v>0.15</v>
      </c>
      <c r="D98" s="214"/>
    </row>
    <row r="99" spans="2:5" ht="12.75" customHeight="1" x14ac:dyDescent="0.25">
      <c r="B99" s="220" t="s">
        <v>538</v>
      </c>
      <c r="C99" s="221">
        <v>0.25</v>
      </c>
      <c r="D99" s="214"/>
    </row>
    <row r="100" spans="2:5" ht="12.75" customHeight="1" x14ac:dyDescent="0.25">
      <c r="B100" s="212" t="s">
        <v>541</v>
      </c>
      <c r="C100" s="213">
        <v>0.28000000000000003</v>
      </c>
      <c r="D100" s="214">
        <f>C100/$C$102</f>
        <v>0.38356164383561642</v>
      </c>
    </row>
    <row r="101" spans="2:5" ht="12.75" customHeight="1" x14ac:dyDescent="0.25">
      <c r="B101" s="212" t="s">
        <v>544</v>
      </c>
      <c r="C101" s="213">
        <v>0.05</v>
      </c>
      <c r="D101" s="214">
        <f>C101/$C$102</f>
        <v>6.8493150684931503E-2</v>
      </c>
    </row>
    <row r="102" spans="2:5" ht="12.75" customHeight="1" x14ac:dyDescent="0.25">
      <c r="B102" s="215" t="s">
        <v>634</v>
      </c>
      <c r="C102" s="219">
        <f>C97+C100+C101</f>
        <v>0.73000000000000009</v>
      </c>
      <c r="D102" s="222">
        <f>C102/$C$102</f>
        <v>1</v>
      </c>
    </row>
    <row r="103" spans="2:5" ht="12.75" customHeight="1" x14ac:dyDescent="0.25">
      <c r="B103" s="212" t="s">
        <v>546</v>
      </c>
      <c r="C103" s="213">
        <v>0.01</v>
      </c>
      <c r="D103" s="214">
        <f>C103/$C$102</f>
        <v>1.3698630136986301E-2</v>
      </c>
      <c r="E103" s="153" t="s">
        <v>635</v>
      </c>
    </row>
    <row r="104" spans="2:5" ht="12.75" customHeight="1" x14ac:dyDescent="0.25">
      <c r="B104" s="216" t="s">
        <v>633</v>
      </c>
      <c r="C104" s="217">
        <f>C97+C100+C101+C103</f>
        <v>0.7400000000000001</v>
      </c>
      <c r="D104" s="218">
        <f>C104/$C$104</f>
        <v>1</v>
      </c>
    </row>
    <row r="105" spans="2:5" ht="12.75" customHeight="1" x14ac:dyDescent="0.25">
      <c r="B105" s="153"/>
    </row>
    <row r="106" spans="2:5" ht="12.75" customHeight="1" x14ac:dyDescent="0.3">
      <c r="B106" s="184" t="s">
        <v>740</v>
      </c>
      <c r="C106" s="214">
        <f>(D100+D101)*D106</f>
        <v>0.18082191780821918</v>
      </c>
      <c r="D106" s="227">
        <v>0.4</v>
      </c>
    </row>
    <row r="107" spans="2:5" ht="12.75" customHeight="1" x14ac:dyDescent="0.3">
      <c r="B107" s="184" t="s">
        <v>741</v>
      </c>
      <c r="C107" s="214">
        <f>(D100+D101)*D107</f>
        <v>0.27123287671232876</v>
      </c>
      <c r="D107" s="227">
        <v>0.6</v>
      </c>
    </row>
    <row r="108" spans="2:5" ht="12.75" customHeight="1" x14ac:dyDescent="0.3">
      <c r="B108" s="184" t="s">
        <v>590</v>
      </c>
      <c r="C108" s="214">
        <f>D97</f>
        <v>0.54794520547945202</v>
      </c>
    </row>
  </sheetData>
  <mergeCells count="3">
    <mergeCell ref="A2:C2"/>
    <mergeCell ref="B95:B96"/>
    <mergeCell ref="C95:D95"/>
  </mergeCell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X107"/>
  <sheetViews>
    <sheetView topLeftCell="C51" zoomScale="125" zoomScaleNormal="125" zoomScalePageLayoutView="125" workbookViewId="0">
      <selection activeCell="M71" sqref="M71"/>
    </sheetView>
  </sheetViews>
  <sheetFormatPr defaultColWidth="17.109375" defaultRowHeight="12.75" customHeight="1" x14ac:dyDescent="0.25"/>
  <cols>
    <col min="1" max="1" width="5.44140625" style="97" customWidth="1"/>
    <col min="2" max="2" width="36.33203125" style="97" customWidth="1"/>
    <col min="3" max="3" width="8" style="97" customWidth="1"/>
    <col min="4" max="12" width="12" style="97" customWidth="1"/>
    <col min="13" max="16384" width="17.109375" style="97"/>
  </cols>
  <sheetData>
    <row r="2" spans="1:24" ht="15.6" x14ac:dyDescent="0.3">
      <c r="A2" s="99" t="s">
        <v>270</v>
      </c>
      <c r="B2" s="100"/>
      <c r="C2" s="100"/>
      <c r="M2" s="97" t="s">
        <v>7</v>
      </c>
      <c r="N2" s="97" t="s">
        <v>7</v>
      </c>
    </row>
    <row r="3" spans="1:24" ht="15.6" x14ac:dyDescent="0.3">
      <c r="A3" s="205"/>
      <c r="B3" s="206"/>
      <c r="C3" s="206"/>
      <c r="D3" s="112">
        <f t="shared" ref="D3:L3" si="0">D4*$C$8</f>
        <v>0</v>
      </c>
      <c r="E3" s="112">
        <f t="shared" si="0"/>
        <v>0</v>
      </c>
      <c r="F3" s="112">
        <f t="shared" si="0"/>
        <v>123459999.99999999</v>
      </c>
      <c r="G3" s="112">
        <f t="shared" si="0"/>
        <v>123459999.99999999</v>
      </c>
      <c r="H3" s="112">
        <f t="shared" si="0"/>
        <v>123459999.99999999</v>
      </c>
      <c r="I3" s="112">
        <f t="shared" si="0"/>
        <v>123459999.99999999</v>
      </c>
      <c r="J3" s="112">
        <f t="shared" si="0"/>
        <v>123459999.99999999</v>
      </c>
      <c r="K3" s="112">
        <f t="shared" si="0"/>
        <v>123459999.99999999</v>
      </c>
      <c r="L3" s="112">
        <f t="shared" si="0"/>
        <v>123459999.99999999</v>
      </c>
    </row>
    <row r="4" spans="1:24" ht="12.75" customHeight="1" x14ac:dyDescent="0.25">
      <c r="A4" s="97" t="s">
        <v>7</v>
      </c>
      <c r="B4" s="101" t="s">
        <v>234</v>
      </c>
      <c r="C4" s="97" t="s">
        <v>235</v>
      </c>
      <c r="D4" s="101">
        <v>0</v>
      </c>
      <c r="E4" s="101">
        <v>0</v>
      </c>
      <c r="F4" s="190">
        <v>100000</v>
      </c>
      <c r="G4" s="101">
        <f t="shared" ref="G4:L4" si="1">F4</f>
        <v>100000</v>
      </c>
      <c r="H4" s="101">
        <f t="shared" si="1"/>
        <v>100000</v>
      </c>
      <c r="I4" s="101">
        <f t="shared" si="1"/>
        <v>100000</v>
      </c>
      <c r="J4" s="101">
        <f t="shared" si="1"/>
        <v>100000</v>
      </c>
      <c r="K4" s="101">
        <f t="shared" si="1"/>
        <v>100000</v>
      </c>
      <c r="L4" s="101">
        <f t="shared" si="1"/>
        <v>100000</v>
      </c>
      <c r="M4" s="97" t="s">
        <v>7</v>
      </c>
    </row>
    <row r="5" spans="1:24" ht="12.75" customHeight="1" x14ac:dyDescent="0.25">
      <c r="A5" s="97" t="s">
        <v>7</v>
      </c>
      <c r="B5" s="104" t="s">
        <v>236</v>
      </c>
      <c r="C5" s="97" t="s">
        <v>235</v>
      </c>
      <c r="D5" s="104">
        <v>0</v>
      </c>
      <c r="E5" s="104">
        <f t="shared" ref="E5:L5" si="2">E4-D4</f>
        <v>0</v>
      </c>
      <c r="F5" s="104">
        <f t="shared" si="2"/>
        <v>100000</v>
      </c>
      <c r="G5" s="104">
        <f t="shared" si="2"/>
        <v>0</v>
      </c>
      <c r="H5" s="104">
        <f t="shared" si="2"/>
        <v>0</v>
      </c>
      <c r="I5" s="104">
        <f t="shared" si="2"/>
        <v>0</v>
      </c>
      <c r="J5" s="104">
        <f t="shared" si="2"/>
        <v>0</v>
      </c>
      <c r="K5" s="104">
        <f t="shared" si="2"/>
        <v>0</v>
      </c>
      <c r="L5" s="104">
        <f t="shared" si="2"/>
        <v>0</v>
      </c>
    </row>
    <row r="6" spans="1:24" ht="12.75" customHeight="1" x14ac:dyDescent="0.25">
      <c r="B6" s="97" t="s">
        <v>7</v>
      </c>
      <c r="C6" s="97" t="s">
        <v>7</v>
      </c>
      <c r="D6" s="97" t="s">
        <v>7</v>
      </c>
      <c r="E6" s="97" t="s">
        <v>7</v>
      </c>
      <c r="F6" s="97" t="s">
        <v>7</v>
      </c>
      <c r="G6" s="97" t="s">
        <v>7</v>
      </c>
      <c r="H6" s="97" t="s">
        <v>7</v>
      </c>
      <c r="I6" s="97" t="s">
        <v>7</v>
      </c>
      <c r="J6" s="97" t="s">
        <v>7</v>
      </c>
      <c r="K6" s="97" t="s">
        <v>7</v>
      </c>
      <c r="L6" s="97" t="s">
        <v>7</v>
      </c>
    </row>
    <row r="7" spans="1:24" ht="51.75" customHeight="1" x14ac:dyDescent="0.25">
      <c r="C7" s="94" t="s">
        <v>237</v>
      </c>
      <c r="D7" s="94" t="s">
        <v>134</v>
      </c>
      <c r="E7" s="94" t="s">
        <v>135</v>
      </c>
      <c r="F7" s="94">
        <v>7.5</v>
      </c>
      <c r="G7" s="94" t="s">
        <v>27</v>
      </c>
      <c r="M7" s="97" t="s">
        <v>21</v>
      </c>
      <c r="O7" s="112"/>
      <c r="P7" s="97">
        <v>1000</v>
      </c>
    </row>
    <row r="8" spans="1:24" ht="12.75" customHeight="1" x14ac:dyDescent="0.25">
      <c r="C8" s="94">
        <f>'Bioetanooli abitabelid'!D45</f>
        <v>1234.5999999999999</v>
      </c>
      <c r="D8" s="94">
        <v>3.6</v>
      </c>
      <c r="E8" s="94">
        <v>2.3883999999999999E-2</v>
      </c>
      <c r="F8" s="94">
        <f>27/1000</f>
        <v>2.7E-2</v>
      </c>
      <c r="G8" s="94" t="s">
        <v>238</v>
      </c>
      <c r="M8" s="97">
        <v>27</v>
      </c>
      <c r="N8" s="97" t="s">
        <v>23</v>
      </c>
      <c r="O8" s="97" t="s">
        <v>239</v>
      </c>
      <c r="P8" s="97">
        <f>M8/P7</f>
        <v>2.7E-2</v>
      </c>
    </row>
    <row r="9" spans="1:24" ht="18" customHeight="1" x14ac:dyDescent="0.25">
      <c r="B9" s="154" t="s">
        <v>240</v>
      </c>
      <c r="C9" s="97" t="s">
        <v>143</v>
      </c>
      <c r="D9" s="106">
        <v>2010</v>
      </c>
      <c r="E9" s="106">
        <v>2015</v>
      </c>
      <c r="F9" s="106">
        <v>2020</v>
      </c>
      <c r="G9" s="106">
        <v>2025</v>
      </c>
      <c r="H9" s="106">
        <v>2030</v>
      </c>
      <c r="I9" s="106">
        <v>2035</v>
      </c>
      <c r="J9" s="106">
        <v>2040</v>
      </c>
      <c r="K9" s="106">
        <v>2045</v>
      </c>
      <c r="L9" s="106">
        <v>2050</v>
      </c>
      <c r="M9" s="191">
        <v>41401</v>
      </c>
      <c r="N9" s="97" t="s">
        <v>27</v>
      </c>
    </row>
    <row r="10" spans="1:24" ht="12.75" customHeight="1" x14ac:dyDescent="0.25">
      <c r="B10" s="169" t="s">
        <v>241</v>
      </c>
      <c r="C10" s="97" t="s">
        <v>147</v>
      </c>
      <c r="D10" s="107">
        <f t="shared" ref="D10:L10" si="3">(D4*$F$7)/1000</f>
        <v>0</v>
      </c>
      <c r="E10" s="107">
        <f t="shared" si="3"/>
        <v>0</v>
      </c>
      <c r="F10" s="107">
        <f t="shared" si="3"/>
        <v>750</v>
      </c>
      <c r="G10" s="107">
        <f t="shared" si="3"/>
        <v>750</v>
      </c>
      <c r="H10" s="107">
        <f t="shared" si="3"/>
        <v>750</v>
      </c>
      <c r="I10" s="107">
        <f t="shared" si="3"/>
        <v>750</v>
      </c>
      <c r="J10" s="107">
        <f t="shared" si="3"/>
        <v>750</v>
      </c>
      <c r="K10" s="107">
        <f t="shared" si="3"/>
        <v>750</v>
      </c>
      <c r="L10" s="107">
        <f t="shared" si="3"/>
        <v>750</v>
      </c>
      <c r="M10" s="107">
        <v>6</v>
      </c>
      <c r="N10" s="97" t="s">
        <v>30</v>
      </c>
      <c r="S10" s="97">
        <v>2000</v>
      </c>
      <c r="T10" s="97">
        <v>2630</v>
      </c>
      <c r="U10" s="97">
        <v>3000</v>
      </c>
      <c r="V10" s="97">
        <v>3240</v>
      </c>
      <c r="W10" s="97">
        <v>3500</v>
      </c>
      <c r="X10" s="97">
        <v>3708</v>
      </c>
    </row>
    <row r="11" spans="1:24" ht="12.75" customHeight="1" x14ac:dyDescent="0.25">
      <c r="B11" s="169" t="s">
        <v>241</v>
      </c>
      <c r="C11" s="109" t="s">
        <v>65</v>
      </c>
      <c r="D11" s="110">
        <f>D10*$D$8</f>
        <v>0</v>
      </c>
      <c r="E11" s="110">
        <f>E10*D8</f>
        <v>0</v>
      </c>
      <c r="F11" s="110">
        <f t="shared" ref="F11:L11" si="4">F10*$D$8</f>
        <v>2700</v>
      </c>
      <c r="G11" s="110">
        <f t="shared" si="4"/>
        <v>2700</v>
      </c>
      <c r="H11" s="110">
        <f t="shared" si="4"/>
        <v>2700</v>
      </c>
      <c r="I11" s="110">
        <f t="shared" si="4"/>
        <v>2700</v>
      </c>
      <c r="J11" s="110">
        <f t="shared" si="4"/>
        <v>2700</v>
      </c>
      <c r="K11" s="110">
        <f t="shared" si="4"/>
        <v>2700</v>
      </c>
      <c r="L11" s="110">
        <f t="shared" si="4"/>
        <v>2700</v>
      </c>
      <c r="S11" s="97">
        <v>2000</v>
      </c>
      <c r="T11" s="97">
        <v>2630</v>
      </c>
      <c r="U11" s="97">
        <v>3000</v>
      </c>
      <c r="V11" s="97">
        <v>3240</v>
      </c>
      <c r="W11" s="97">
        <v>3500</v>
      </c>
      <c r="X11" s="97">
        <v>3708</v>
      </c>
    </row>
    <row r="12" spans="1:24" ht="12.75" customHeight="1" x14ac:dyDescent="0.25">
      <c r="B12" s="169"/>
      <c r="C12" s="104"/>
      <c r="E12" s="112"/>
      <c r="F12" s="112"/>
      <c r="G12" s="112"/>
      <c r="H12" s="112"/>
      <c r="I12" s="112"/>
      <c r="J12" s="112"/>
      <c r="K12" s="112"/>
      <c r="L12" s="112"/>
    </row>
    <row r="13" spans="1:24" ht="12.75" customHeight="1" x14ac:dyDescent="0.25">
      <c r="B13" s="169"/>
      <c r="C13" s="104"/>
      <c r="E13" s="112"/>
      <c r="F13" s="112"/>
      <c r="G13" s="112"/>
      <c r="H13" s="112"/>
      <c r="I13" s="112"/>
      <c r="J13" s="112"/>
      <c r="K13" s="112"/>
      <c r="L13" s="112"/>
    </row>
    <row r="14" spans="1:24" ht="12.75" customHeight="1" x14ac:dyDescent="0.25">
      <c r="B14" s="169" t="s">
        <v>241</v>
      </c>
      <c r="C14" s="97" t="s">
        <v>16</v>
      </c>
      <c r="D14" s="115">
        <f t="shared" ref="D14:L14" si="5">D11*$E$8</f>
        <v>0</v>
      </c>
      <c r="E14" s="112">
        <f t="shared" si="5"/>
        <v>0</v>
      </c>
      <c r="F14" s="112">
        <f t="shared" si="5"/>
        <v>64.486800000000002</v>
      </c>
      <c r="G14" s="112">
        <f t="shared" si="5"/>
        <v>64.486800000000002</v>
      </c>
      <c r="H14" s="112">
        <f t="shared" si="5"/>
        <v>64.486800000000002</v>
      </c>
      <c r="I14" s="112">
        <f t="shared" si="5"/>
        <v>64.486800000000002</v>
      </c>
      <c r="J14" s="112">
        <f t="shared" si="5"/>
        <v>64.486800000000002</v>
      </c>
      <c r="K14" s="112">
        <f t="shared" si="5"/>
        <v>64.486800000000002</v>
      </c>
      <c r="L14" s="112">
        <f t="shared" si="5"/>
        <v>64.486800000000002</v>
      </c>
      <c r="N14" s="115"/>
    </row>
    <row r="15" spans="1:24" ht="12.75" customHeight="1" x14ac:dyDescent="0.25">
      <c r="B15" s="169"/>
      <c r="D15" s="107"/>
      <c r="E15" s="107"/>
      <c r="F15" s="107">
        <v>92</v>
      </c>
      <c r="G15" s="107"/>
      <c r="H15" s="107"/>
      <c r="I15" s="107"/>
      <c r="J15" s="107"/>
      <c r="K15" s="107"/>
      <c r="L15" s="107"/>
    </row>
    <row r="16" spans="1:24" ht="12.75" customHeight="1" x14ac:dyDescent="0.25">
      <c r="B16" s="177" t="s">
        <v>242</v>
      </c>
      <c r="D16" s="107"/>
      <c r="E16" s="107"/>
      <c r="F16" s="107"/>
      <c r="G16" s="107"/>
      <c r="H16" s="107"/>
      <c r="I16" s="107"/>
      <c r="J16" s="107"/>
      <c r="K16" s="107"/>
      <c r="L16" s="107"/>
    </row>
    <row r="17" spans="1:14" ht="12.75" customHeight="1" x14ac:dyDescent="0.25">
      <c r="B17" s="246" t="s">
        <v>1137</v>
      </c>
      <c r="C17" s="252" t="s">
        <v>65</v>
      </c>
      <c r="D17" s="595">
        <v>0</v>
      </c>
      <c r="E17" s="595">
        <v>588.47627728944849</v>
      </c>
      <c r="F17" s="595">
        <v>1176.952554578897</v>
      </c>
      <c r="G17" s="595">
        <v>1129.6568712341905</v>
      </c>
      <c r="H17" s="595">
        <v>1082.3611878894837</v>
      </c>
      <c r="I17" s="595">
        <v>985.28771897372405</v>
      </c>
      <c r="J17" s="595">
        <v>888.21425005796436</v>
      </c>
      <c r="K17" s="595">
        <v>839.67751560008458</v>
      </c>
      <c r="L17" s="595">
        <v>694.0673122264451</v>
      </c>
    </row>
    <row r="18" spans="1:14" ht="12.75" hidden="1" customHeight="1" x14ac:dyDescent="0.25">
      <c r="B18" s="169"/>
      <c r="C18" s="97" t="s">
        <v>16</v>
      </c>
      <c r="D18" s="97">
        <v>0</v>
      </c>
      <c r="E18" s="97">
        <v>13</v>
      </c>
      <c r="F18" s="97">
        <v>26</v>
      </c>
      <c r="G18" s="97">
        <v>32</v>
      </c>
      <c r="H18" s="97">
        <v>37</v>
      </c>
      <c r="I18" s="97">
        <v>30</v>
      </c>
      <c r="J18" s="97">
        <v>23</v>
      </c>
      <c r="K18" s="97">
        <v>19</v>
      </c>
      <c r="L18" s="97">
        <v>8</v>
      </c>
    </row>
    <row r="19" spans="1:14" ht="12.75" hidden="1" customHeight="1" x14ac:dyDescent="0.25">
      <c r="B19" s="169"/>
      <c r="D19" s="107"/>
      <c r="E19" s="107"/>
      <c r="F19" s="107" t="s">
        <v>7</v>
      </c>
      <c r="G19" s="107"/>
      <c r="H19" s="107"/>
      <c r="I19" s="107"/>
      <c r="J19" s="107"/>
      <c r="K19" s="107"/>
      <c r="L19" s="107"/>
    </row>
    <row r="20" spans="1:14" ht="12.75" customHeight="1" x14ac:dyDescent="0.25">
      <c r="B20" s="169" t="s">
        <v>151</v>
      </c>
      <c r="C20" s="97" t="s">
        <v>65</v>
      </c>
      <c r="D20" s="112">
        <v>29886.140291495798</v>
      </c>
      <c r="E20" s="112">
        <v>32684.968828523961</v>
      </c>
      <c r="F20" s="112">
        <v>35483.797365552127</v>
      </c>
      <c r="G20" s="112">
        <v>37790.450334000132</v>
      </c>
      <c r="H20" s="112">
        <v>40097.103302448137</v>
      </c>
      <c r="I20" s="112">
        <v>38657.5325725941</v>
      </c>
      <c r="J20" s="112">
        <v>37217.961842740049</v>
      </c>
      <c r="K20" s="112">
        <v>36498.176477813016</v>
      </c>
      <c r="L20" s="112">
        <v>34338.82038303194</v>
      </c>
    </row>
    <row r="21" spans="1:14" ht="12.75" hidden="1" customHeight="1" x14ac:dyDescent="0.25">
      <c r="B21" s="169"/>
      <c r="C21" s="97" t="s">
        <v>16</v>
      </c>
      <c r="D21" s="97">
        <v>714</v>
      </c>
      <c r="E21" s="97">
        <v>730</v>
      </c>
      <c r="F21" s="97">
        <v>746</v>
      </c>
      <c r="G21" s="97">
        <v>713</v>
      </c>
      <c r="H21" s="97">
        <v>681</v>
      </c>
      <c r="I21" s="97">
        <v>604</v>
      </c>
      <c r="J21" s="97">
        <v>526</v>
      </c>
      <c r="K21" s="97">
        <v>487</v>
      </c>
      <c r="L21" s="97">
        <v>371</v>
      </c>
    </row>
    <row r="22" spans="1:14" ht="12.75" customHeight="1" x14ac:dyDescent="0.25">
      <c r="B22" s="169" t="s">
        <v>243</v>
      </c>
      <c r="C22" s="97" t="s">
        <v>154</v>
      </c>
      <c r="D22" s="116">
        <f t="shared" ref="D22:L22" si="6">D17/D20</f>
        <v>0</v>
      </c>
      <c r="E22" s="116">
        <f t="shared" si="6"/>
        <v>1.8004492535293137E-2</v>
      </c>
      <c r="F22" s="116">
        <f t="shared" si="6"/>
        <v>3.3168731701796079E-2</v>
      </c>
      <c r="G22" s="116">
        <f t="shared" si="6"/>
        <v>2.989265439416678E-2</v>
      </c>
      <c r="H22" s="116">
        <f t="shared" si="6"/>
        <v>2.6993500745561338E-2</v>
      </c>
      <c r="I22" s="116">
        <f t="shared" si="6"/>
        <v>2.5487599787272368E-2</v>
      </c>
      <c r="J22" s="116">
        <f t="shared" si="6"/>
        <v>2.3865203952086498E-2</v>
      </c>
      <c r="K22" s="116">
        <f t="shared" si="6"/>
        <v>2.3006012810270635E-2</v>
      </c>
      <c r="L22" s="116">
        <f t="shared" si="6"/>
        <v>2.0212322510921459E-2</v>
      </c>
    </row>
    <row r="23" spans="1:14" ht="12.75" customHeight="1" x14ac:dyDescent="0.25">
      <c r="B23" s="169" t="s">
        <v>244</v>
      </c>
      <c r="C23" s="97" t="s">
        <v>65</v>
      </c>
      <c r="D23" s="107">
        <v>0</v>
      </c>
      <c r="E23" s="107">
        <f>E17</f>
        <v>588.47627728944849</v>
      </c>
      <c r="F23" s="107">
        <v>0</v>
      </c>
      <c r="G23" s="107">
        <v>0</v>
      </c>
      <c r="H23" s="107">
        <v>0</v>
      </c>
      <c r="I23" s="107">
        <v>0</v>
      </c>
      <c r="J23" s="107">
        <v>0</v>
      </c>
      <c r="K23" s="107">
        <v>0</v>
      </c>
      <c r="L23" s="107">
        <v>0</v>
      </c>
    </row>
    <row r="24" spans="1:14" ht="12.75" customHeight="1" x14ac:dyDescent="0.25">
      <c r="B24" s="169" t="s">
        <v>245</v>
      </c>
      <c r="C24" s="97" t="s">
        <v>65</v>
      </c>
      <c r="D24" s="107">
        <f>D11-D17</f>
        <v>0</v>
      </c>
      <c r="E24" s="107">
        <v>0</v>
      </c>
      <c r="F24" s="107">
        <f t="shared" ref="F24:L24" si="7">F11-F17</f>
        <v>1523.047445421103</v>
      </c>
      <c r="G24" s="107">
        <f t="shared" si="7"/>
        <v>1570.3431287658095</v>
      </c>
      <c r="H24" s="107">
        <f t="shared" si="7"/>
        <v>1617.6388121105163</v>
      </c>
      <c r="I24" s="107">
        <f>I11-I17</f>
        <v>1714.7122810262758</v>
      </c>
      <c r="J24" s="107">
        <f t="shared" si="7"/>
        <v>1811.7857499420356</v>
      </c>
      <c r="K24" s="107">
        <f t="shared" si="7"/>
        <v>1860.3224843999155</v>
      </c>
      <c r="L24" s="107">
        <f t="shared" si="7"/>
        <v>2005.9326877735548</v>
      </c>
    </row>
    <row r="25" spans="1:14" ht="12.75" hidden="1" customHeight="1" x14ac:dyDescent="0.25">
      <c r="B25" s="169"/>
      <c r="C25" s="97" t="s">
        <v>16</v>
      </c>
      <c r="D25" s="107">
        <f t="shared" ref="D25:L25" si="8">D24*$E$8</f>
        <v>0</v>
      </c>
      <c r="E25" s="107">
        <f t="shared" si="8"/>
        <v>0</v>
      </c>
      <c r="F25" s="107">
        <f t="shared" si="8"/>
        <v>36.376465186437621</v>
      </c>
      <c r="G25" s="107">
        <f t="shared" si="8"/>
        <v>37.506075287442592</v>
      </c>
      <c r="H25" s="107">
        <f t="shared" si="8"/>
        <v>38.63568538844757</v>
      </c>
      <c r="I25" s="107">
        <f t="shared" si="8"/>
        <v>40.954188120031567</v>
      </c>
      <c r="J25" s="107">
        <f t="shared" si="8"/>
        <v>43.272690851615579</v>
      </c>
      <c r="K25" s="107">
        <f t="shared" si="8"/>
        <v>44.431942217407581</v>
      </c>
      <c r="L25" s="107">
        <f t="shared" si="8"/>
        <v>47.909696314783581</v>
      </c>
    </row>
    <row r="26" spans="1:14" ht="12.75" customHeight="1" x14ac:dyDescent="0.25">
      <c r="B26" s="169" t="s">
        <v>246</v>
      </c>
      <c r="C26" s="97" t="s">
        <v>154</v>
      </c>
      <c r="D26" s="116">
        <v>0</v>
      </c>
      <c r="E26" s="116">
        <v>0</v>
      </c>
      <c r="F26" s="116">
        <f t="shared" ref="F26:L26" si="9">F24/F11</f>
        <v>0.5640916464522604</v>
      </c>
      <c r="G26" s="116">
        <f t="shared" si="9"/>
        <v>0.58160856620955903</v>
      </c>
      <c r="H26" s="116">
        <f t="shared" si="9"/>
        <v>0.59912548596685788</v>
      </c>
      <c r="I26" s="116">
        <f t="shared" si="9"/>
        <v>0.63507862260232439</v>
      </c>
      <c r="J26" s="116">
        <f t="shared" si="9"/>
        <v>0.67103175923779101</v>
      </c>
      <c r="K26" s="116">
        <f t="shared" si="9"/>
        <v>0.68900832755552432</v>
      </c>
      <c r="L26" s="116">
        <f t="shared" si="9"/>
        <v>0.74293803250872403</v>
      </c>
    </row>
    <row r="27" spans="1:14" ht="12.75" customHeight="1" x14ac:dyDescent="0.25">
      <c r="B27" s="154" t="s">
        <v>619</v>
      </c>
      <c r="D27" s="116"/>
      <c r="E27" s="116"/>
      <c r="F27" s="116"/>
      <c r="G27" s="116"/>
      <c r="H27" s="116"/>
      <c r="I27" s="116"/>
      <c r="J27" s="116"/>
      <c r="K27" s="116"/>
      <c r="L27" s="116"/>
    </row>
    <row r="28" spans="1:14" ht="12.75" customHeight="1" x14ac:dyDescent="0.25">
      <c r="A28" s="97">
        <f>uus_info!C60</f>
        <v>0.78249999999999997</v>
      </c>
      <c r="B28" s="97" t="s">
        <v>247</v>
      </c>
      <c r="D28" s="128">
        <f>(D29/10)/3.6</f>
        <v>0.58687499999999992</v>
      </c>
      <c r="E28" s="107"/>
      <c r="F28" s="107"/>
      <c r="G28" s="107"/>
      <c r="H28" s="107"/>
      <c r="I28" s="107"/>
      <c r="J28" s="107"/>
      <c r="K28" s="107"/>
      <c r="L28" s="107"/>
      <c r="M28" s="97">
        <v>0.8</v>
      </c>
      <c r="N28" s="97">
        <f>M28*A28</f>
        <v>0.626</v>
      </c>
    </row>
    <row r="29" spans="1:14" ht="12.75" customHeight="1" x14ac:dyDescent="0.25">
      <c r="A29" s="97">
        <f>(A28*F7)*D8</f>
        <v>21.127499999999998</v>
      </c>
      <c r="B29" s="97" t="s">
        <v>248</v>
      </c>
      <c r="C29" s="97" t="s">
        <v>158</v>
      </c>
      <c r="D29" s="118">
        <f>A29</f>
        <v>21.127499999999998</v>
      </c>
      <c r="E29" s="107">
        <f>$D$29*TJ_kytusehinnad!G5/100</f>
        <v>21.515160550458713</v>
      </c>
      <c r="F29" s="107">
        <f>$D$29*TJ_kytusehinnad!H5/100</f>
        <v>21.902821100917432</v>
      </c>
      <c r="G29" s="107">
        <f>$D$29*TJ_kytusehinnad!I5/100</f>
        <v>22.4843119266055</v>
      </c>
      <c r="H29" s="107">
        <f>$D$29*TJ_kytusehinnad!J5/100</f>
        <v>23.45346330275229</v>
      </c>
      <c r="I29" s="107">
        <f>$D$29*TJ_kytusehinnad!K5/100</f>
        <v>24.810275229357799</v>
      </c>
      <c r="J29" s="107">
        <f>I29*TJ_kytusehinnad!L5</f>
        <v>26.249271192660554</v>
      </c>
      <c r="K29" s="107">
        <f>J29*TJ_kytusehinnad!M5</f>
        <v>27.771728921834868</v>
      </c>
      <c r="L29" s="107">
        <f>K29*TJ_kytusehinnad!N5</f>
        <v>29.38248919930129</v>
      </c>
      <c r="N29" s="97">
        <v>0.54</v>
      </c>
    </row>
    <row r="30" spans="1:14" ht="12.75" hidden="1" customHeight="1" x14ac:dyDescent="0.25">
      <c r="A30" s="115"/>
      <c r="D30" s="107"/>
      <c r="E30" s="107"/>
      <c r="F30" s="107"/>
      <c r="G30" s="107"/>
      <c r="H30" s="107"/>
      <c r="I30" s="107"/>
      <c r="J30" s="107"/>
      <c r="K30" s="107"/>
      <c r="L30" s="107"/>
    </row>
    <row r="31" spans="1:14" ht="12.75" hidden="1" customHeight="1" x14ac:dyDescent="0.25">
      <c r="A31" s="115"/>
    </row>
    <row r="32" spans="1:14" ht="12.75" hidden="1" customHeight="1" x14ac:dyDescent="0.25">
      <c r="E32" s="107"/>
      <c r="F32" s="107"/>
      <c r="G32" s="107"/>
      <c r="H32" s="107"/>
      <c r="I32" s="107"/>
      <c r="J32" s="107"/>
      <c r="K32" s="107"/>
      <c r="L32" s="107"/>
    </row>
    <row r="33" spans="1:20" ht="12.75" hidden="1" customHeight="1" x14ac:dyDescent="0.25">
      <c r="A33" s="115"/>
      <c r="E33" s="112"/>
      <c r="F33" s="112"/>
      <c r="G33" s="112"/>
      <c r="H33" s="112"/>
      <c r="I33" s="112"/>
      <c r="J33" s="112"/>
      <c r="K33" s="112"/>
      <c r="L33" s="112"/>
    </row>
    <row r="34" spans="1:20" ht="12.75" hidden="1" customHeight="1" x14ac:dyDescent="0.25">
      <c r="D34" s="107"/>
      <c r="E34" s="107"/>
      <c r="F34" s="107"/>
      <c r="G34" s="107"/>
      <c r="H34" s="107"/>
      <c r="I34" s="107"/>
      <c r="J34" s="107"/>
      <c r="K34" s="107"/>
      <c r="L34" s="107"/>
    </row>
    <row r="35" spans="1:20" ht="12.75" hidden="1" customHeight="1" x14ac:dyDescent="0.25">
      <c r="D35" s="107"/>
      <c r="E35" s="107"/>
      <c r="F35" s="107"/>
      <c r="G35" s="107"/>
      <c r="H35" s="107"/>
      <c r="I35" s="107"/>
      <c r="J35" s="107"/>
      <c r="K35" s="107"/>
      <c r="L35" s="107"/>
    </row>
    <row r="36" spans="1:20" ht="12.75" hidden="1" customHeight="1" x14ac:dyDescent="0.25">
      <c r="D36" s="107"/>
      <c r="E36" s="107"/>
      <c r="F36" s="107"/>
      <c r="G36" s="107"/>
      <c r="H36" s="107"/>
      <c r="I36" s="107"/>
      <c r="J36" s="107"/>
      <c r="K36" s="107"/>
      <c r="L36" s="107"/>
    </row>
    <row r="37" spans="1:20" ht="12.75" hidden="1" customHeight="1" x14ac:dyDescent="0.25">
      <c r="D37" s="107"/>
      <c r="E37" s="107"/>
      <c r="F37" s="107"/>
      <c r="G37" s="107"/>
      <c r="H37" s="107"/>
      <c r="I37" s="107"/>
      <c r="J37" s="107"/>
      <c r="K37" s="107"/>
      <c r="L37" s="107"/>
    </row>
    <row r="38" spans="1:20" ht="12.75" customHeight="1" x14ac:dyDescent="0.25">
      <c r="B38" s="95" t="s">
        <v>249</v>
      </c>
      <c r="C38" s="95" t="s">
        <v>169</v>
      </c>
      <c r="D38" s="96">
        <f>(D30*D24)/1000</f>
        <v>0</v>
      </c>
      <c r="E38" s="157">
        <f>(E30*E24)/1000</f>
        <v>0</v>
      </c>
      <c r="F38" s="96">
        <f>(F29*F24)/1000</f>
        <v>33.359035725267731</v>
      </c>
      <c r="G38" s="96">
        <f t="shared" ref="G38:L38" si="10">(G29*G24)/1000</f>
        <v>35.308084738972084</v>
      </c>
      <c r="H38" s="96">
        <f t="shared" si="10"/>
        <v>37.939232516941793</v>
      </c>
      <c r="I38" s="96">
        <f t="shared" si="10"/>
        <v>42.542483631421817</v>
      </c>
      <c r="J38" s="96">
        <f t="shared" si="10"/>
        <v>47.558055493226377</v>
      </c>
      <c r="K38" s="96">
        <f t="shared" si="10"/>
        <v>51.664371743948834</v>
      </c>
      <c r="L38" s="96">
        <f t="shared" si="10"/>
        <v>58.939295533031881</v>
      </c>
      <c r="N38" s="97">
        <f>N28-N29</f>
        <v>8.5999999999999965E-2</v>
      </c>
    </row>
    <row r="39" spans="1:20" ht="12.75" customHeight="1" x14ac:dyDescent="0.25">
      <c r="B39" s="95" t="s">
        <v>250</v>
      </c>
      <c r="C39" s="95" t="s">
        <v>169</v>
      </c>
      <c r="D39" s="96">
        <f>(D17*D30)/1000</f>
        <v>0</v>
      </c>
      <c r="E39" s="157">
        <f>(E17*E30)/1000</f>
        <v>0</v>
      </c>
      <c r="F39" s="96">
        <f>(F17*F29)/1000</f>
        <v>25.778581247209342</v>
      </c>
      <c r="G39" s="96">
        <f t="shared" ref="G39:L39" si="11">(G17*G29)/1000</f>
        <v>25.399557462862763</v>
      </c>
      <c r="H39" s="96">
        <f t="shared" si="11"/>
        <v>25.385118400489382</v>
      </c>
      <c r="I39" s="96">
        <f t="shared" si="11"/>
        <v>24.445259487844236</v>
      </c>
      <c r="J39" s="96">
        <f t="shared" si="11"/>
        <v>23.314976726957124</v>
      </c>
      <c r="K39" s="96">
        <f t="shared" si="11"/>
        <v>23.319296345005316</v>
      </c>
      <c r="L39" s="96">
        <f t="shared" si="11"/>
        <v>20.3934253050816</v>
      </c>
    </row>
    <row r="40" spans="1:20" ht="12.75" customHeight="1" x14ac:dyDescent="0.25">
      <c r="A40" s="119"/>
      <c r="B40" s="195" t="s">
        <v>251</v>
      </c>
      <c r="C40" s="195" t="s">
        <v>169</v>
      </c>
      <c r="D40" s="196">
        <f t="shared" ref="D40:L40" si="12">D39+D38</f>
        <v>0</v>
      </c>
      <c r="E40" s="197">
        <f t="shared" si="12"/>
        <v>0</v>
      </c>
      <c r="F40" s="196">
        <f t="shared" si="12"/>
        <v>59.137616972477076</v>
      </c>
      <c r="G40" s="196">
        <f t="shared" si="12"/>
        <v>60.707642201834844</v>
      </c>
      <c r="H40" s="196">
        <f t="shared" si="12"/>
        <v>63.324350917431175</v>
      </c>
      <c r="I40" s="196">
        <f t="shared" si="12"/>
        <v>66.987743119266057</v>
      </c>
      <c r="J40" s="196">
        <f t="shared" si="12"/>
        <v>70.873032220183504</v>
      </c>
      <c r="K40" s="196">
        <f t="shared" si="12"/>
        <v>74.983668088954147</v>
      </c>
      <c r="L40" s="196">
        <f t="shared" si="12"/>
        <v>79.332720838113488</v>
      </c>
      <c r="M40" s="119"/>
      <c r="N40" s="119"/>
      <c r="O40" s="119"/>
      <c r="P40" s="119"/>
      <c r="Q40" s="119"/>
      <c r="R40" s="119"/>
      <c r="S40" s="119"/>
      <c r="T40" s="119"/>
    </row>
    <row r="41" spans="1:20" ht="12.75" hidden="1" customHeight="1" x14ac:dyDescent="0.25">
      <c r="C41" s="120"/>
      <c r="D41" s="107"/>
      <c r="E41" s="107"/>
      <c r="F41" s="107"/>
      <c r="G41" s="107"/>
      <c r="H41" s="107"/>
      <c r="I41" s="107"/>
      <c r="J41" s="107"/>
      <c r="K41" s="107"/>
      <c r="L41" s="107"/>
    </row>
    <row r="42" spans="1:20" ht="12.75" hidden="1" customHeight="1" x14ac:dyDescent="0.25">
      <c r="B42" s="97" t="s">
        <v>252</v>
      </c>
      <c r="C42" s="97" t="s">
        <v>253</v>
      </c>
      <c r="D42" s="124">
        <f>170000000/100000</f>
        <v>1700</v>
      </c>
      <c r="E42" s="107"/>
      <c r="F42" s="107"/>
      <c r="G42" s="107"/>
      <c r="H42" s="107"/>
      <c r="I42" s="107"/>
      <c r="J42" s="107"/>
      <c r="K42" s="107"/>
      <c r="L42" s="107"/>
    </row>
    <row r="43" spans="1:20" ht="12.75" hidden="1" customHeight="1" x14ac:dyDescent="0.25">
      <c r="B43" s="97" t="s">
        <v>174</v>
      </c>
      <c r="C43" s="97" t="s">
        <v>166</v>
      </c>
      <c r="D43" s="107">
        <f t="shared" ref="D43:L43" si="13">(D4*$D$42)/1000000</f>
        <v>0</v>
      </c>
      <c r="E43" s="107">
        <f t="shared" si="13"/>
        <v>0</v>
      </c>
      <c r="F43" s="107">
        <f t="shared" si="13"/>
        <v>170</v>
      </c>
      <c r="G43" s="107">
        <f t="shared" si="13"/>
        <v>170</v>
      </c>
      <c r="H43" s="107">
        <f t="shared" si="13"/>
        <v>170</v>
      </c>
      <c r="I43" s="107">
        <f t="shared" si="13"/>
        <v>170</v>
      </c>
      <c r="J43" s="107">
        <f t="shared" si="13"/>
        <v>170</v>
      </c>
      <c r="K43" s="107">
        <f t="shared" si="13"/>
        <v>170</v>
      </c>
      <c r="L43" s="107">
        <f t="shared" si="13"/>
        <v>170</v>
      </c>
      <c r="M43" s="115"/>
      <c r="O43" s="115"/>
    </row>
    <row r="44" spans="1:20" ht="12.75" hidden="1" customHeight="1" x14ac:dyDescent="0.25">
      <c r="D44" s="107"/>
      <c r="E44" s="107"/>
      <c r="F44" s="107"/>
      <c r="G44" s="107"/>
      <c r="H44" s="107"/>
      <c r="I44" s="107"/>
      <c r="J44" s="107"/>
      <c r="K44" s="107"/>
      <c r="L44" s="107"/>
      <c r="O44" s="115"/>
    </row>
    <row r="45" spans="1:20" ht="12.75" customHeight="1" x14ac:dyDescent="0.25">
      <c r="B45" s="154" t="s">
        <v>612</v>
      </c>
      <c r="D45" s="107"/>
      <c r="E45" s="107"/>
      <c r="F45" s="107"/>
      <c r="G45" s="107"/>
      <c r="H45" s="107"/>
      <c r="I45" s="107"/>
      <c r="J45" s="107"/>
      <c r="K45" s="107"/>
      <c r="L45" s="107"/>
      <c r="O45" s="115"/>
    </row>
    <row r="46" spans="1:20" ht="12.75" customHeight="1" x14ac:dyDescent="0.25">
      <c r="B46" s="169" t="s">
        <v>254</v>
      </c>
      <c r="C46" s="127">
        <f>'Bioetanooli abitabelid'!C44</f>
        <v>0.307</v>
      </c>
    </row>
    <row r="47" spans="1:20" ht="12.75" customHeight="1" x14ac:dyDescent="0.25">
      <c r="B47" s="169" t="s">
        <v>255</v>
      </c>
      <c r="C47" s="97" t="s">
        <v>178</v>
      </c>
      <c r="D47" s="115">
        <f>($C$46*C46)/1000</f>
        <v>9.4248999999999998E-5</v>
      </c>
      <c r="E47" s="115">
        <f t="shared" ref="E47:L48" si="14">($C$46*E10)/1000</f>
        <v>0</v>
      </c>
      <c r="F47" s="115">
        <f t="shared" si="14"/>
        <v>0.23025000000000001</v>
      </c>
      <c r="G47" s="115">
        <f t="shared" si="14"/>
        <v>0.23025000000000001</v>
      </c>
      <c r="H47" s="115">
        <f t="shared" si="14"/>
        <v>0.23025000000000001</v>
      </c>
      <c r="I47" s="115">
        <f t="shared" si="14"/>
        <v>0.23025000000000001</v>
      </c>
      <c r="J47" s="115">
        <f t="shared" si="14"/>
        <v>0.23025000000000001</v>
      </c>
      <c r="K47" s="115">
        <f t="shared" si="14"/>
        <v>0.23025000000000001</v>
      </c>
      <c r="L47" s="115">
        <f t="shared" si="14"/>
        <v>0.23025000000000001</v>
      </c>
    </row>
    <row r="48" spans="1:20" ht="12.75" customHeight="1" x14ac:dyDescent="0.25">
      <c r="B48" s="168" t="s">
        <v>255</v>
      </c>
      <c r="C48" s="95" t="s">
        <v>179</v>
      </c>
      <c r="D48" s="157">
        <f>($C$46*D11)/1000</f>
        <v>0</v>
      </c>
      <c r="E48" s="157">
        <f t="shared" si="14"/>
        <v>0</v>
      </c>
      <c r="F48" s="157">
        <f t="shared" si="14"/>
        <v>0.82889999999999997</v>
      </c>
      <c r="G48" s="157">
        <f t="shared" si="14"/>
        <v>0.82889999999999997</v>
      </c>
      <c r="H48" s="157">
        <f t="shared" si="14"/>
        <v>0.82889999999999997</v>
      </c>
      <c r="I48" s="157">
        <f t="shared" si="14"/>
        <v>0.82889999999999997</v>
      </c>
      <c r="J48" s="157">
        <f t="shared" si="14"/>
        <v>0.82889999999999997</v>
      </c>
      <c r="K48" s="157">
        <f t="shared" si="14"/>
        <v>0.82889999999999997</v>
      </c>
      <c r="L48" s="157">
        <f t="shared" si="14"/>
        <v>0.82889999999999997</v>
      </c>
    </row>
    <row r="49" spans="1:20" ht="12.75" customHeight="1" x14ac:dyDescent="0.25">
      <c r="A49" s="107"/>
      <c r="B49" s="160" t="s">
        <v>608</v>
      </c>
      <c r="C49" s="107"/>
      <c r="D49" s="107"/>
      <c r="E49" s="107"/>
      <c r="F49" s="107"/>
      <c r="G49" s="107"/>
      <c r="H49" s="107"/>
      <c r="I49" s="107"/>
      <c r="J49" s="107"/>
      <c r="K49" s="107"/>
      <c r="L49" s="107"/>
    </row>
    <row r="50" spans="1:20" ht="12.75" customHeight="1" x14ac:dyDescent="0.25">
      <c r="A50" s="119" t="s">
        <v>256</v>
      </c>
      <c r="B50" s="167" t="s">
        <v>257</v>
      </c>
      <c r="C50" s="119" t="s">
        <v>181</v>
      </c>
      <c r="D50" s="119">
        <f t="shared" ref="D50:L50" si="15">SUM(D51:D52)</f>
        <v>0</v>
      </c>
      <c r="E50" s="119">
        <f t="shared" si="15"/>
        <v>0</v>
      </c>
      <c r="F50" s="119">
        <f t="shared" si="15"/>
        <v>67.83</v>
      </c>
      <c r="G50" s="119">
        <f t="shared" si="15"/>
        <v>67.83</v>
      </c>
      <c r="H50" s="119">
        <f t="shared" si="15"/>
        <v>67.83</v>
      </c>
      <c r="I50" s="119">
        <f t="shared" si="15"/>
        <v>67.83</v>
      </c>
      <c r="J50" s="119">
        <f t="shared" si="15"/>
        <v>67.83</v>
      </c>
      <c r="K50" s="119">
        <f t="shared" si="15"/>
        <v>67.83</v>
      </c>
      <c r="L50" s="119">
        <f t="shared" si="15"/>
        <v>67.83</v>
      </c>
      <c r="M50" s="119"/>
      <c r="N50" s="119"/>
      <c r="O50" s="119"/>
      <c r="P50" s="119"/>
      <c r="Q50" s="119"/>
      <c r="R50" s="119"/>
      <c r="S50" s="119"/>
      <c r="T50" s="119"/>
    </row>
    <row r="51" spans="1:20" ht="12.75" customHeight="1" x14ac:dyDescent="0.25">
      <c r="A51" s="97">
        <f>'Bioetanooli abitabelid'!D36</f>
        <v>677.2</v>
      </c>
      <c r="B51" s="168" t="s">
        <v>258</v>
      </c>
      <c r="C51" s="95" t="s">
        <v>181</v>
      </c>
      <c r="D51" s="95">
        <f>$A$51*D4</f>
        <v>0</v>
      </c>
      <c r="E51" s="95">
        <f>$A$51*E4</f>
        <v>0</v>
      </c>
      <c r="F51" s="165">
        <f t="shared" ref="F51:L51" si="16">($A$51*F4)/1000000</f>
        <v>67.72</v>
      </c>
      <c r="G51" s="165">
        <f t="shared" si="16"/>
        <v>67.72</v>
      </c>
      <c r="H51" s="165">
        <f t="shared" si="16"/>
        <v>67.72</v>
      </c>
      <c r="I51" s="165">
        <f t="shared" si="16"/>
        <v>67.72</v>
      </c>
      <c r="J51" s="165">
        <f t="shared" si="16"/>
        <v>67.72</v>
      </c>
      <c r="K51" s="165">
        <f t="shared" si="16"/>
        <v>67.72</v>
      </c>
      <c r="L51" s="165">
        <f t="shared" si="16"/>
        <v>67.72</v>
      </c>
    </row>
    <row r="52" spans="1:20" ht="12.75" customHeight="1" x14ac:dyDescent="0.25">
      <c r="A52" s="97">
        <f>'Bioetanooli abitabelid'!D37</f>
        <v>1.1000000000000001</v>
      </c>
      <c r="B52" s="170" t="s">
        <v>620</v>
      </c>
      <c r="C52" s="95" t="s">
        <v>181</v>
      </c>
      <c r="D52" s="95">
        <f>$A$52*D4</f>
        <v>0</v>
      </c>
      <c r="E52" s="95">
        <f>$A$52*E4</f>
        <v>0</v>
      </c>
      <c r="F52" s="157">
        <f t="shared" ref="F52:L52" si="17">($A$52*F4)/1000000</f>
        <v>0.11000000000000001</v>
      </c>
      <c r="G52" s="95">
        <f t="shared" si="17"/>
        <v>0.11000000000000001</v>
      </c>
      <c r="H52" s="95">
        <f t="shared" si="17"/>
        <v>0.11000000000000001</v>
      </c>
      <c r="I52" s="95">
        <f t="shared" si="17"/>
        <v>0.11000000000000001</v>
      </c>
      <c r="J52" s="95">
        <f t="shared" si="17"/>
        <v>0.11000000000000001</v>
      </c>
      <c r="K52" s="95">
        <f t="shared" si="17"/>
        <v>0.11000000000000001</v>
      </c>
      <c r="L52" s="95">
        <f t="shared" si="17"/>
        <v>0.11000000000000001</v>
      </c>
    </row>
    <row r="53" spans="1:20" ht="13.2" x14ac:dyDescent="0.25">
      <c r="B53" s="177" t="s">
        <v>260</v>
      </c>
      <c r="C53" s="154" t="s">
        <v>181</v>
      </c>
      <c r="D53" s="225">
        <f>(D29*D11)*1000</f>
        <v>0</v>
      </c>
      <c r="E53" s="225">
        <f>(E29*E11)*1000</f>
        <v>0</v>
      </c>
      <c r="F53" s="225">
        <f>((F29*F11)*1000)/1000000</f>
        <v>59.137616972477062</v>
      </c>
      <c r="G53" s="225">
        <f t="shared" ref="G53:L53" si="18">(G29*G11)/1000</f>
        <v>60.707642201834851</v>
      </c>
      <c r="H53" s="225">
        <f t="shared" si="18"/>
        <v>63.324350917431182</v>
      </c>
      <c r="I53" s="225">
        <f t="shared" si="18"/>
        <v>66.987743119266057</v>
      </c>
      <c r="J53" s="225">
        <f t="shared" si="18"/>
        <v>70.873032220183489</v>
      </c>
      <c r="K53" s="225">
        <f t="shared" si="18"/>
        <v>74.983668088954147</v>
      </c>
      <c r="L53" s="225">
        <f t="shared" si="18"/>
        <v>79.332720838113488</v>
      </c>
    </row>
    <row r="54" spans="1:20" ht="12.75" customHeight="1" x14ac:dyDescent="0.25">
      <c r="A54" s="97" t="s">
        <v>261</v>
      </c>
      <c r="B54" s="130" t="s">
        <v>189</v>
      </c>
      <c r="C54" s="97" t="s">
        <v>7</v>
      </c>
      <c r="D54" s="143"/>
      <c r="E54" s="143"/>
      <c r="F54" s="143"/>
      <c r="G54" s="143"/>
      <c r="H54" s="143"/>
      <c r="I54" s="143"/>
      <c r="J54" s="143"/>
      <c r="K54" s="143"/>
      <c r="L54" s="143"/>
    </row>
    <row r="55" spans="1:20" ht="12.75" customHeight="1" x14ac:dyDescent="0.25">
      <c r="A55" s="112">
        <f>'Bioetanooli abitabelid'!E37</f>
        <v>830</v>
      </c>
      <c r="B55" s="168" t="s">
        <v>262</v>
      </c>
      <c r="C55" s="163" t="s">
        <v>181</v>
      </c>
      <c r="D55" s="164">
        <f>$A$55*D5</f>
        <v>0</v>
      </c>
      <c r="E55" s="164">
        <f>$A$55*E5</f>
        <v>0</v>
      </c>
      <c r="F55" s="164">
        <f>($A$55*F5)/1000000</f>
        <v>83</v>
      </c>
      <c r="G55" s="164">
        <f>($A$55*G5)/1000000</f>
        <v>0</v>
      </c>
      <c r="H55" s="164">
        <f>($A$55*H5)/1000000</f>
        <v>0</v>
      </c>
      <c r="I55" s="164">
        <f>$A$55*I5</f>
        <v>0</v>
      </c>
      <c r="J55" s="164">
        <f>$A$55*J5</f>
        <v>0</v>
      </c>
      <c r="K55" s="164">
        <f>$A$55*K5</f>
        <v>0</v>
      </c>
      <c r="L55" s="164">
        <f>$A$55*L5</f>
        <v>0</v>
      </c>
      <c r="M55" s="143"/>
    </row>
    <row r="56" spans="1:20" ht="12.75" customHeight="1" x14ac:dyDescent="0.25">
      <c r="A56" s="112">
        <v>50</v>
      </c>
      <c r="B56" s="168" t="s">
        <v>193</v>
      </c>
      <c r="C56" s="95" t="s">
        <v>181</v>
      </c>
      <c r="D56" s="165">
        <f>$A$56*D5</f>
        <v>0</v>
      </c>
      <c r="E56" s="165">
        <f>$A$56*E5</f>
        <v>0</v>
      </c>
      <c r="F56" s="165">
        <f>($A$56*F5)/1000000</f>
        <v>5</v>
      </c>
      <c r="G56" s="165">
        <f>($A$56*G5)/1000000</f>
        <v>0</v>
      </c>
      <c r="H56" s="165">
        <f>($A$56*H5)/1000000</f>
        <v>0</v>
      </c>
      <c r="I56" s="165">
        <f>$A$56*I5</f>
        <v>0</v>
      </c>
      <c r="J56" s="165">
        <f>$A$56*J5</f>
        <v>0</v>
      </c>
      <c r="K56" s="165">
        <f>$A$56*K5</f>
        <v>0</v>
      </c>
      <c r="L56" s="165">
        <f>$A$56*L5</f>
        <v>0</v>
      </c>
    </row>
    <row r="57" spans="1:20" ht="12.75" customHeight="1" x14ac:dyDescent="0.25">
      <c r="A57" s="112"/>
      <c r="B57" s="168" t="s">
        <v>1136</v>
      </c>
      <c r="C57" s="95" t="s">
        <v>181</v>
      </c>
      <c r="D57" s="165"/>
      <c r="E57" s="165"/>
      <c r="F57" s="588">
        <f>F55*0.5</f>
        <v>41.5</v>
      </c>
      <c r="G57" s="165"/>
      <c r="H57" s="165"/>
      <c r="I57" s="165"/>
      <c r="J57" s="165"/>
      <c r="K57" s="165"/>
      <c r="L57" s="165"/>
    </row>
    <row r="58" spans="1:20" ht="12.75" customHeight="1" x14ac:dyDescent="0.25">
      <c r="B58" s="130" t="s">
        <v>195</v>
      </c>
      <c r="D58" s="97" t="s">
        <v>7</v>
      </c>
    </row>
    <row r="59" spans="1:20" ht="12.75" customHeight="1" x14ac:dyDescent="0.25">
      <c r="A59" s="115">
        <f>'Bioetanooli abitabelid'!B59</f>
        <v>1.4463909652634745</v>
      </c>
      <c r="B59" s="168" t="s">
        <v>263</v>
      </c>
      <c r="C59" s="95" t="s">
        <v>196</v>
      </c>
      <c r="D59" s="165">
        <f t="shared" ref="D59:L59" si="19">D4/$A$59</f>
        <v>0</v>
      </c>
      <c r="E59" s="165">
        <f t="shared" si="19"/>
        <v>0</v>
      </c>
      <c r="F59" s="165">
        <f t="shared" si="19"/>
        <v>69137.600000000006</v>
      </c>
      <c r="G59" s="165">
        <f t="shared" si="19"/>
        <v>69137.600000000006</v>
      </c>
      <c r="H59" s="165">
        <f t="shared" si="19"/>
        <v>69137.600000000006</v>
      </c>
      <c r="I59" s="165">
        <f t="shared" si="19"/>
        <v>69137.600000000006</v>
      </c>
      <c r="J59" s="165">
        <f t="shared" si="19"/>
        <v>69137.600000000006</v>
      </c>
      <c r="K59" s="165">
        <f t="shared" si="19"/>
        <v>69137.600000000006</v>
      </c>
      <c r="L59" s="165">
        <f t="shared" si="19"/>
        <v>69137.600000000006</v>
      </c>
      <c r="M59" s="107"/>
      <c r="N59" s="115"/>
      <c r="O59" s="112"/>
    </row>
    <row r="60" spans="1:20" ht="12.75" customHeight="1" x14ac:dyDescent="0.25">
      <c r="A60" s="97" t="s">
        <v>264</v>
      </c>
      <c r="B60" s="169" t="s">
        <v>265</v>
      </c>
      <c r="C60" s="97" t="s">
        <v>214</v>
      </c>
      <c r="D60" s="112">
        <f t="shared" ref="D60:L60" si="20">$A$61*D4</f>
        <v>0</v>
      </c>
      <c r="E60" s="112">
        <f t="shared" si="20"/>
        <v>0</v>
      </c>
      <c r="F60" s="112">
        <f t="shared" si="20"/>
        <v>134000</v>
      </c>
      <c r="G60" s="112">
        <f t="shared" si="20"/>
        <v>134000</v>
      </c>
      <c r="H60" s="112">
        <f t="shared" si="20"/>
        <v>134000</v>
      </c>
      <c r="I60" s="112">
        <f t="shared" si="20"/>
        <v>134000</v>
      </c>
      <c r="J60" s="112">
        <f t="shared" si="20"/>
        <v>134000</v>
      </c>
      <c r="K60" s="112">
        <f t="shared" si="20"/>
        <v>134000</v>
      </c>
      <c r="L60" s="112">
        <f t="shared" si="20"/>
        <v>134000</v>
      </c>
    </row>
    <row r="61" spans="1:20" ht="22.95" customHeight="1" x14ac:dyDescent="0.25">
      <c r="A61" s="115">
        <v>1.34</v>
      </c>
      <c r="B61" s="265" t="s">
        <v>1146</v>
      </c>
      <c r="C61" s="186" t="s">
        <v>166</v>
      </c>
      <c r="D61" s="187">
        <f t="shared" ref="D61:E61" si="21">($A$62*D3)/1000000</f>
        <v>0</v>
      </c>
      <c r="E61" s="187">
        <f t="shared" si="21"/>
        <v>0</v>
      </c>
      <c r="F61" s="187">
        <f>($A$62*F60)/1000</f>
        <v>26.8</v>
      </c>
      <c r="G61" s="187">
        <f t="shared" ref="G61:L61" si="22">($A$62*G60)/1000</f>
        <v>26.8</v>
      </c>
      <c r="H61" s="187">
        <f t="shared" si="22"/>
        <v>26.8</v>
      </c>
      <c r="I61" s="187">
        <f t="shared" si="22"/>
        <v>26.8</v>
      </c>
      <c r="J61" s="187">
        <f t="shared" si="22"/>
        <v>26.8</v>
      </c>
      <c r="K61" s="187">
        <f t="shared" si="22"/>
        <v>26.8</v>
      </c>
      <c r="L61" s="187">
        <f t="shared" si="22"/>
        <v>26.8</v>
      </c>
      <c r="M61" s="115"/>
    </row>
    <row r="62" spans="1:20" ht="12.75" customHeight="1" x14ac:dyDescent="0.25">
      <c r="A62" s="115">
        <f>'Bioetanooli abitabelid'!B65</f>
        <v>0.2</v>
      </c>
      <c r="B62" s="169" t="s">
        <v>267</v>
      </c>
      <c r="C62" s="97" t="s">
        <v>247</v>
      </c>
      <c r="M62" s="115"/>
    </row>
    <row r="63" spans="1:20" ht="12.75" customHeight="1" x14ac:dyDescent="0.25">
      <c r="A63" s="97">
        <f>abitabelid!B177</f>
        <v>83.8</v>
      </c>
      <c r="B63" s="97" t="s">
        <v>212</v>
      </c>
      <c r="C63" s="97" t="s">
        <v>65</v>
      </c>
      <c r="D63" s="97">
        <f>'kütuste tarbimine EE'!C6+'kütuste tarbimine EE'!C7</f>
        <v>29658</v>
      </c>
      <c r="E63" s="97">
        <f>'kütuste tarbimine EE'!D6+'kütuste tarbimine EE'!D7</f>
        <v>30505.144790424099</v>
      </c>
      <c r="F63" s="97">
        <f>'kütuste tarbimine EE'!E6+'kütuste tarbimine EE'!E7</f>
        <v>26790.915284128507</v>
      </c>
      <c r="G63" s="97">
        <f>'kütuste tarbimine EE'!F6+'kütuste tarbimine EE'!F7</f>
        <v>22257.868043989209</v>
      </c>
      <c r="H63" s="97">
        <f>'kütuste tarbimine EE'!G6+'kütuste tarbimine EE'!G7</f>
        <v>17724.820803849914</v>
      </c>
      <c r="I63" s="97">
        <f>'kütuste tarbimine EE'!H6+'kütuste tarbimine EE'!H7</f>
        <v>14811.297539860303</v>
      </c>
      <c r="J63" s="97">
        <f>'kütuste tarbimine EE'!I6+'kütuste tarbimine EE'!I7</f>
        <v>11897.774275870692</v>
      </c>
      <c r="K63" s="97">
        <f>'kütuste tarbimine EE'!J6+'kütuste tarbimine EE'!J7</f>
        <v>10441.012643875889</v>
      </c>
      <c r="L63" s="97">
        <f>'kütuste tarbimine EE'!K6+'kütuste tarbimine EE'!K7</f>
        <v>6070.727747891473</v>
      </c>
    </row>
    <row r="64" spans="1:20" ht="12.75" customHeight="1" x14ac:dyDescent="0.25">
      <c r="A64" s="97" t="s">
        <v>7</v>
      </c>
      <c r="B64" s="97" t="s">
        <v>213</v>
      </c>
      <c r="C64" s="97" t="s">
        <v>214</v>
      </c>
      <c r="D64" s="112">
        <f t="shared" ref="D64:L64" si="23">D63*$A$63</f>
        <v>2485340.4</v>
      </c>
      <c r="E64" s="112">
        <f t="shared" si="23"/>
        <v>2556331.1334375395</v>
      </c>
      <c r="F64" s="112">
        <f t="shared" si="23"/>
        <v>2245078.7008099686</v>
      </c>
      <c r="G64" s="112">
        <f t="shared" si="23"/>
        <v>1865209.3420862956</v>
      </c>
      <c r="H64" s="112">
        <f t="shared" si="23"/>
        <v>1485339.9833626228</v>
      </c>
      <c r="I64" s="112">
        <f t="shared" si="23"/>
        <v>1241186.7338402933</v>
      </c>
      <c r="J64" s="112">
        <f t="shared" si="23"/>
        <v>997033.48431796394</v>
      </c>
      <c r="K64" s="112">
        <f t="shared" si="23"/>
        <v>874956.85955679941</v>
      </c>
      <c r="L64" s="112">
        <f t="shared" si="23"/>
        <v>508726.98527330544</v>
      </c>
    </row>
    <row r="65" spans="1:14" ht="52.8" x14ac:dyDescent="0.25">
      <c r="A65" s="139">
        <f>'Bioetanooli abitabelid'!B82</f>
        <v>70</v>
      </c>
      <c r="B65" s="259" t="s">
        <v>729</v>
      </c>
      <c r="C65" s="259" t="s">
        <v>214</v>
      </c>
      <c r="D65" s="267">
        <f t="shared" ref="D65:L65" si="24">$A$65*D11</f>
        <v>0</v>
      </c>
      <c r="E65" s="267">
        <f t="shared" si="24"/>
        <v>0</v>
      </c>
      <c r="F65" s="267">
        <f>$A$65*F11</f>
        <v>189000</v>
      </c>
      <c r="G65" s="267">
        <f t="shared" si="24"/>
        <v>189000</v>
      </c>
      <c r="H65" s="267">
        <f t="shared" si="24"/>
        <v>189000</v>
      </c>
      <c r="I65" s="267">
        <f t="shared" si="24"/>
        <v>189000</v>
      </c>
      <c r="J65" s="267">
        <f t="shared" si="24"/>
        <v>189000</v>
      </c>
      <c r="K65" s="267">
        <f t="shared" si="24"/>
        <v>189000</v>
      </c>
      <c r="L65" s="267">
        <f t="shared" si="24"/>
        <v>189000</v>
      </c>
    </row>
    <row r="66" spans="1:14" ht="12.75" customHeight="1" x14ac:dyDescent="0.25">
      <c r="A66" s="97" t="s">
        <v>7</v>
      </c>
      <c r="D66" s="97" t="s">
        <v>7</v>
      </c>
      <c r="E66" s="97">
        <f>((E4*10)*3.6)*A65</f>
        <v>0</v>
      </c>
    </row>
    <row r="67" spans="1:14" ht="12.75" customHeight="1" x14ac:dyDescent="0.25">
      <c r="B67" s="153" t="s">
        <v>716</v>
      </c>
      <c r="F67" s="242">
        <f t="shared" ref="F67:L67" si="25">(F61+F40)/(F51+F52)-1</f>
        <v>0.26695587457580827</v>
      </c>
      <c r="G67" s="242">
        <f t="shared" si="25"/>
        <v>0.29010234707113147</v>
      </c>
      <c r="H67" s="242">
        <f t="shared" si="25"/>
        <v>0.32867980123000407</v>
      </c>
      <c r="I67" s="242">
        <f t="shared" si="25"/>
        <v>0.38268823705242605</v>
      </c>
      <c r="J67" s="242">
        <f t="shared" si="25"/>
        <v>0.4399680409875204</v>
      </c>
      <c r="K67" s="242">
        <f t="shared" si="25"/>
        <v>0.50057007355084981</v>
      </c>
      <c r="L67" s="242">
        <f t="shared" si="25"/>
        <v>0.56468702400285253</v>
      </c>
    </row>
    <row r="69" spans="1:14" ht="12.75" customHeight="1" x14ac:dyDescent="0.3">
      <c r="B69" s="181"/>
      <c r="C69" s="90" t="s">
        <v>143</v>
      </c>
      <c r="D69" s="90"/>
      <c r="E69" s="90">
        <v>2015</v>
      </c>
      <c r="F69" s="90">
        <v>2020</v>
      </c>
      <c r="G69" s="90">
        <v>2025</v>
      </c>
      <c r="H69" s="90">
        <v>2030</v>
      </c>
      <c r="I69" s="90">
        <v>2035</v>
      </c>
      <c r="J69" s="90">
        <v>2040</v>
      </c>
      <c r="K69" s="90">
        <v>2045</v>
      </c>
      <c r="L69" s="90">
        <v>2050</v>
      </c>
      <c r="M69" s="192"/>
      <c r="N69" s="192"/>
    </row>
    <row r="70" spans="1:14" ht="12.75" customHeight="1" x14ac:dyDescent="0.3">
      <c r="B70" s="182" t="s">
        <v>609</v>
      </c>
      <c r="C70" s="92" t="s">
        <v>65</v>
      </c>
      <c r="D70" s="207"/>
      <c r="E70" s="207">
        <f>E48*1000</f>
        <v>0</v>
      </c>
      <c r="F70" s="207">
        <f t="shared" ref="F70:L70" si="26">F48*1000</f>
        <v>828.9</v>
      </c>
      <c r="G70" s="207">
        <f t="shared" si="26"/>
        <v>828.9</v>
      </c>
      <c r="H70" s="207">
        <f t="shared" si="26"/>
        <v>828.9</v>
      </c>
      <c r="I70" s="207">
        <f t="shared" si="26"/>
        <v>828.9</v>
      </c>
      <c r="J70" s="207">
        <f t="shared" si="26"/>
        <v>828.9</v>
      </c>
      <c r="K70" s="207">
        <f t="shared" si="26"/>
        <v>828.9</v>
      </c>
      <c r="L70" s="207">
        <f t="shared" si="26"/>
        <v>828.9</v>
      </c>
      <c r="M70" s="193"/>
      <c r="N70" s="193"/>
    </row>
    <row r="71" spans="1:14" ht="12.75" customHeight="1" x14ac:dyDescent="0.3">
      <c r="B71" s="183" t="s">
        <v>610</v>
      </c>
      <c r="C71" s="92" t="s">
        <v>181</v>
      </c>
      <c r="D71" s="92"/>
      <c r="E71" s="92">
        <f>SUM(E72:E77)</f>
        <v>0</v>
      </c>
      <c r="F71" s="92">
        <f>SUM(F72:F77)</f>
        <v>127.43761697247707</v>
      </c>
      <c r="G71" s="92">
        <f t="shared" ref="G71:L71" si="27">SUM(G72:G77)</f>
        <v>87.507642201834841</v>
      </c>
      <c r="H71" s="92">
        <f t="shared" si="27"/>
        <v>90.124350917431173</v>
      </c>
      <c r="I71" s="92">
        <f t="shared" si="27"/>
        <v>93.787743119266054</v>
      </c>
      <c r="J71" s="92">
        <f t="shared" si="27"/>
        <v>97.673032220183501</v>
      </c>
      <c r="K71" s="92">
        <f t="shared" si="27"/>
        <v>101.78366808895414</v>
      </c>
      <c r="L71" s="92">
        <f t="shared" si="27"/>
        <v>106.13272083811349</v>
      </c>
      <c r="M71" s="194"/>
      <c r="N71" s="194"/>
    </row>
    <row r="72" spans="1:14" ht="12.75" customHeight="1" x14ac:dyDescent="0.3">
      <c r="B72" s="184" t="s">
        <v>740</v>
      </c>
      <c r="C72" s="92" t="s">
        <v>181</v>
      </c>
      <c r="D72" s="92"/>
      <c r="E72" s="166">
        <f>E$50*$C105</f>
        <v>0</v>
      </c>
      <c r="F72" s="92">
        <f>F$50*$C105</f>
        <v>12.265150684931507</v>
      </c>
      <c r="G72" s="92">
        <f t="shared" ref="G72:L72" si="28">G$50*$C105</f>
        <v>12.265150684931507</v>
      </c>
      <c r="H72" s="92">
        <f t="shared" si="28"/>
        <v>12.265150684931507</v>
      </c>
      <c r="I72" s="92">
        <f t="shared" si="28"/>
        <v>12.265150684931507</v>
      </c>
      <c r="J72" s="92">
        <f t="shared" si="28"/>
        <v>12.265150684931507</v>
      </c>
      <c r="K72" s="92">
        <f t="shared" si="28"/>
        <v>12.265150684931507</v>
      </c>
      <c r="L72" s="92">
        <f t="shared" si="28"/>
        <v>12.265150684931507</v>
      </c>
      <c r="M72" s="224"/>
      <c r="N72" s="194"/>
    </row>
    <row r="73" spans="1:14" ht="12.75" customHeight="1" x14ac:dyDescent="0.3">
      <c r="B73" s="184" t="s">
        <v>590</v>
      </c>
      <c r="C73" s="92" t="s">
        <v>181</v>
      </c>
      <c r="D73" s="92"/>
      <c r="E73" s="166">
        <f t="shared" ref="E73:L73" si="29">E$50*$C107</f>
        <v>0</v>
      </c>
      <c r="F73" s="92">
        <f t="shared" si="29"/>
        <v>37.167123287671231</v>
      </c>
      <c r="G73" s="92">
        <f t="shared" si="29"/>
        <v>37.167123287671231</v>
      </c>
      <c r="H73" s="92">
        <f t="shared" si="29"/>
        <v>37.167123287671231</v>
      </c>
      <c r="I73" s="92">
        <f t="shared" si="29"/>
        <v>37.167123287671231</v>
      </c>
      <c r="J73" s="92">
        <f t="shared" si="29"/>
        <v>37.167123287671231</v>
      </c>
      <c r="K73" s="92">
        <f t="shared" si="29"/>
        <v>37.167123287671231</v>
      </c>
      <c r="L73" s="92">
        <f t="shared" si="29"/>
        <v>37.167123287671231</v>
      </c>
      <c r="M73" s="194"/>
      <c r="N73" s="194"/>
    </row>
    <row r="74" spans="1:14" ht="12.75" customHeight="1" x14ac:dyDescent="0.3">
      <c r="B74" s="184" t="s">
        <v>741</v>
      </c>
      <c r="C74" s="92" t="s">
        <v>181</v>
      </c>
      <c r="D74" s="92"/>
      <c r="E74" s="166">
        <f>E$50*$C106</f>
        <v>0</v>
      </c>
      <c r="F74" s="92">
        <f>F$50*$C106</f>
        <v>18.397726027397258</v>
      </c>
      <c r="G74" s="92">
        <f t="shared" ref="G74:L74" si="30">G$50*$C106</f>
        <v>18.397726027397258</v>
      </c>
      <c r="H74" s="92">
        <f t="shared" si="30"/>
        <v>18.397726027397258</v>
      </c>
      <c r="I74" s="92">
        <f t="shared" si="30"/>
        <v>18.397726027397258</v>
      </c>
      <c r="J74" s="92">
        <f t="shared" si="30"/>
        <v>18.397726027397258</v>
      </c>
      <c r="K74" s="92">
        <f t="shared" si="30"/>
        <v>18.397726027397258</v>
      </c>
      <c r="L74" s="92">
        <f t="shared" si="30"/>
        <v>18.397726027397258</v>
      </c>
      <c r="M74" s="194"/>
      <c r="N74" s="194"/>
    </row>
    <row r="75" spans="1:14" ht="12.75" customHeight="1" x14ac:dyDescent="0.3">
      <c r="B75" s="184" t="s">
        <v>742</v>
      </c>
      <c r="C75" s="92"/>
      <c r="D75" s="92"/>
      <c r="E75" s="166">
        <f>SUM($E$80:E80)*$M$75</f>
        <v>0</v>
      </c>
      <c r="F75" s="92">
        <f>SUM($E$80:F80)*$M$75</f>
        <v>4.4000000000000004</v>
      </c>
      <c r="G75" s="92">
        <f>SUM($E$80:G80)*$M$75</f>
        <v>4.4000000000000004</v>
      </c>
      <c r="H75" s="92">
        <f>SUM($E$80:H80)*$M$75</f>
        <v>4.4000000000000004</v>
      </c>
      <c r="I75" s="92">
        <f>SUM($E$80:I80)*$M$75</f>
        <v>4.4000000000000004</v>
      </c>
      <c r="J75" s="92">
        <f>SUM($E$80:J80)*$M$75</f>
        <v>4.4000000000000004</v>
      </c>
      <c r="K75" s="92">
        <f>SUM($E$80:K80)*$M$75</f>
        <v>4.4000000000000004</v>
      </c>
      <c r="L75" s="92">
        <f>SUM($E$80:L80)*$M$75</f>
        <v>4.4000000000000004</v>
      </c>
      <c r="M75" s="284">
        <v>0.05</v>
      </c>
      <c r="N75" s="194"/>
    </row>
    <row r="76" spans="1:14" ht="12.75" customHeight="1" x14ac:dyDescent="0.3">
      <c r="B76" s="184" t="s">
        <v>628</v>
      </c>
      <c r="C76" s="92"/>
      <c r="D76" s="92"/>
      <c r="E76" s="166">
        <f>E$50*$D$102</f>
        <v>0</v>
      </c>
      <c r="F76" s="92">
        <f>F$50*$D$102</f>
        <v>0.92917808219178077</v>
      </c>
      <c r="G76" s="92">
        <f t="shared" ref="G76:L76" si="31">G$50*$D$102</f>
        <v>0.92917808219178077</v>
      </c>
      <c r="H76" s="92">
        <f t="shared" si="31"/>
        <v>0.92917808219178077</v>
      </c>
      <c r="I76" s="92">
        <f t="shared" si="31"/>
        <v>0.92917808219178077</v>
      </c>
      <c r="J76" s="92">
        <f t="shared" si="31"/>
        <v>0.92917808219178077</v>
      </c>
      <c r="K76" s="92">
        <f t="shared" si="31"/>
        <v>0.92917808219178077</v>
      </c>
      <c r="L76" s="92">
        <f t="shared" si="31"/>
        <v>0.92917808219178077</v>
      </c>
      <c r="M76" s="194"/>
      <c r="N76" s="194"/>
    </row>
    <row r="77" spans="1:14" ht="12.75" customHeight="1" x14ac:dyDescent="0.3">
      <c r="A77" s="243"/>
      <c r="B77" s="184" t="s">
        <v>631</v>
      </c>
      <c r="C77" s="92" t="s">
        <v>181</v>
      </c>
      <c r="D77" s="92"/>
      <c r="E77" s="166">
        <f>(E78+E79+E86)-SUM(E72:E76)</f>
        <v>0</v>
      </c>
      <c r="F77" s="245">
        <f>(F78+F79+F86)-SUM(F72:F76)</f>
        <v>54.278438890285287</v>
      </c>
      <c r="G77" s="245">
        <f t="shared" ref="G77:L77" si="32">(G78+G79+G86)-SUM(G72:G76)</f>
        <v>14.348464119643054</v>
      </c>
      <c r="H77" s="245">
        <f t="shared" si="32"/>
        <v>16.965172835239386</v>
      </c>
      <c r="I77" s="245">
        <f t="shared" si="32"/>
        <v>20.628565037074267</v>
      </c>
      <c r="J77" s="245">
        <f t="shared" si="32"/>
        <v>24.513854137991714</v>
      </c>
      <c r="K77" s="245">
        <f t="shared" si="32"/>
        <v>28.624490006762358</v>
      </c>
      <c r="L77" s="245">
        <f t="shared" si="32"/>
        <v>32.973542755921699</v>
      </c>
      <c r="M77" s="194"/>
      <c r="N77" s="194"/>
    </row>
    <row r="78" spans="1:14" ht="12.75" customHeight="1" x14ac:dyDescent="0.3">
      <c r="B78" s="182" t="s">
        <v>597</v>
      </c>
      <c r="C78" s="92" t="s">
        <v>181</v>
      </c>
      <c r="D78" s="92"/>
      <c r="E78" s="92">
        <f>E61</f>
        <v>0</v>
      </c>
      <c r="F78" s="92">
        <f t="shared" ref="F78:L78" si="33">F61</f>
        <v>26.8</v>
      </c>
      <c r="G78" s="92">
        <f t="shared" si="33"/>
        <v>26.8</v>
      </c>
      <c r="H78" s="92">
        <f t="shared" si="33"/>
        <v>26.8</v>
      </c>
      <c r="I78" s="92">
        <f t="shared" si="33"/>
        <v>26.8</v>
      </c>
      <c r="J78" s="92">
        <f t="shared" si="33"/>
        <v>26.8</v>
      </c>
      <c r="K78" s="92">
        <f t="shared" si="33"/>
        <v>26.8</v>
      </c>
      <c r="L78" s="92">
        <f t="shared" si="33"/>
        <v>26.8</v>
      </c>
      <c r="M78" s="194" t="s">
        <v>632</v>
      </c>
      <c r="N78" s="194"/>
    </row>
    <row r="79" spans="1:14" ht="12.75" customHeight="1" x14ac:dyDescent="0.3">
      <c r="B79" s="183" t="s">
        <v>611</v>
      </c>
      <c r="C79" s="92" t="s">
        <v>181</v>
      </c>
      <c r="D79" s="92"/>
      <c r="E79" s="92">
        <f>E40</f>
        <v>0</v>
      </c>
      <c r="F79" s="92">
        <f t="shared" ref="F79:L79" si="34">F40</f>
        <v>59.137616972477076</v>
      </c>
      <c r="G79" s="92">
        <f t="shared" si="34"/>
        <v>60.707642201834844</v>
      </c>
      <c r="H79" s="92">
        <f t="shared" si="34"/>
        <v>63.324350917431175</v>
      </c>
      <c r="I79" s="92">
        <f t="shared" si="34"/>
        <v>66.987743119266057</v>
      </c>
      <c r="J79" s="92">
        <f t="shared" si="34"/>
        <v>70.873032220183504</v>
      </c>
      <c r="K79" s="92">
        <f t="shared" si="34"/>
        <v>74.983668088954147</v>
      </c>
      <c r="L79" s="92">
        <f t="shared" si="34"/>
        <v>79.332720838113488</v>
      </c>
      <c r="M79" s="194"/>
      <c r="N79" s="194"/>
    </row>
    <row r="80" spans="1:14" ht="12.75" customHeight="1" x14ac:dyDescent="0.3">
      <c r="B80" s="183" t="s">
        <v>189</v>
      </c>
      <c r="C80" s="92" t="s">
        <v>181</v>
      </c>
      <c r="D80" s="92"/>
      <c r="E80" s="92">
        <f>SUM(E81:E84)</f>
        <v>0</v>
      </c>
      <c r="F80" s="92">
        <f t="shared" ref="F80:L80" si="35">SUM(F81:F84)</f>
        <v>88</v>
      </c>
      <c r="G80" s="92">
        <f t="shared" si="35"/>
        <v>0</v>
      </c>
      <c r="H80" s="92">
        <f t="shared" si="35"/>
        <v>0</v>
      </c>
      <c r="I80" s="92">
        <f t="shared" si="35"/>
        <v>0</v>
      </c>
      <c r="J80" s="92">
        <f t="shared" si="35"/>
        <v>0</v>
      </c>
      <c r="K80" s="92">
        <f t="shared" si="35"/>
        <v>0</v>
      </c>
      <c r="L80" s="92">
        <f t="shared" si="35"/>
        <v>0</v>
      </c>
      <c r="M80" s="194"/>
      <c r="N80" s="194"/>
    </row>
    <row r="81" spans="2:14" ht="12.75" customHeight="1" x14ac:dyDescent="0.3">
      <c r="B81" s="184" t="s">
        <v>190</v>
      </c>
      <c r="C81" s="92" t="s">
        <v>181</v>
      </c>
      <c r="D81" s="92"/>
      <c r="E81" s="92">
        <f>E$55*$M81</f>
        <v>0</v>
      </c>
      <c r="F81" s="92">
        <f t="shared" ref="F81:L82" si="36">F$55*$M81</f>
        <v>19.09</v>
      </c>
      <c r="G81" s="92">
        <f t="shared" si="36"/>
        <v>0</v>
      </c>
      <c r="H81" s="92">
        <f t="shared" si="36"/>
        <v>0</v>
      </c>
      <c r="I81" s="92">
        <f t="shared" si="36"/>
        <v>0</v>
      </c>
      <c r="J81" s="92">
        <f t="shared" si="36"/>
        <v>0</v>
      </c>
      <c r="K81" s="92">
        <f t="shared" si="36"/>
        <v>0</v>
      </c>
      <c r="L81" s="92">
        <f t="shared" si="36"/>
        <v>0</v>
      </c>
      <c r="M81" s="223">
        <v>0.23</v>
      </c>
      <c r="N81" s="224" t="s">
        <v>637</v>
      </c>
    </row>
    <row r="82" spans="2:14" ht="12.75" customHeight="1" x14ac:dyDescent="0.3">
      <c r="B82" s="184" t="s">
        <v>192</v>
      </c>
      <c r="C82" s="92" t="s">
        <v>181</v>
      </c>
      <c r="D82" s="92"/>
      <c r="E82" s="92">
        <f>E$55*$M82</f>
        <v>0</v>
      </c>
      <c r="F82" s="92">
        <f t="shared" si="36"/>
        <v>63.910000000000004</v>
      </c>
      <c r="G82" s="92">
        <f t="shared" si="36"/>
        <v>0</v>
      </c>
      <c r="H82" s="92">
        <f t="shared" si="36"/>
        <v>0</v>
      </c>
      <c r="I82" s="92">
        <f t="shared" si="36"/>
        <v>0</v>
      </c>
      <c r="J82" s="92">
        <f t="shared" si="36"/>
        <v>0</v>
      </c>
      <c r="K82" s="92">
        <f t="shared" si="36"/>
        <v>0</v>
      </c>
      <c r="L82" s="92">
        <f t="shared" si="36"/>
        <v>0</v>
      </c>
      <c r="M82" s="223">
        <f>1-M81</f>
        <v>0.77</v>
      </c>
      <c r="N82" s="194"/>
    </row>
    <row r="83" spans="2:14" ht="12.75" customHeight="1" x14ac:dyDescent="0.3">
      <c r="B83" s="184" t="s">
        <v>193</v>
      </c>
      <c r="C83" s="92" t="s">
        <v>181</v>
      </c>
      <c r="D83" s="92"/>
      <c r="E83" s="92">
        <f>E56</f>
        <v>0</v>
      </c>
      <c r="F83" s="92">
        <f t="shared" ref="F83:L83" si="37">F56</f>
        <v>5</v>
      </c>
      <c r="G83" s="92">
        <f t="shared" si="37"/>
        <v>0</v>
      </c>
      <c r="H83" s="92">
        <f t="shared" si="37"/>
        <v>0</v>
      </c>
      <c r="I83" s="92">
        <f t="shared" si="37"/>
        <v>0</v>
      </c>
      <c r="J83" s="92">
        <f t="shared" si="37"/>
        <v>0</v>
      </c>
      <c r="K83" s="92">
        <f t="shared" si="37"/>
        <v>0</v>
      </c>
      <c r="L83" s="92">
        <f t="shared" si="37"/>
        <v>0</v>
      </c>
      <c r="M83" s="194"/>
      <c r="N83" s="194"/>
    </row>
    <row r="84" spans="2:14" ht="12.75" customHeight="1" x14ac:dyDescent="0.3">
      <c r="B84" s="184" t="s">
        <v>194</v>
      </c>
      <c r="C84" s="92" t="s">
        <v>181</v>
      </c>
      <c r="D84" s="92"/>
      <c r="E84" s="92"/>
      <c r="F84" s="92"/>
      <c r="G84" s="92"/>
      <c r="H84" s="92"/>
      <c r="I84" s="92"/>
      <c r="J84" s="92"/>
      <c r="K84" s="92"/>
      <c r="L84" s="92"/>
      <c r="M84" s="194"/>
      <c r="N84" s="194"/>
    </row>
    <row r="85" spans="2:14" ht="12.75" customHeight="1" x14ac:dyDescent="0.3">
      <c r="B85" s="183" t="s">
        <v>593</v>
      </c>
      <c r="C85" s="92" t="s">
        <v>181</v>
      </c>
      <c r="D85" s="92"/>
      <c r="E85" s="92">
        <f>E38</f>
        <v>0</v>
      </c>
      <c r="F85" s="92">
        <f t="shared" ref="F85:L85" si="38">F38</f>
        <v>33.359035725267731</v>
      </c>
      <c r="G85" s="92">
        <f t="shared" si="38"/>
        <v>35.308084738972084</v>
      </c>
      <c r="H85" s="92">
        <f t="shared" si="38"/>
        <v>37.939232516941793</v>
      </c>
      <c r="I85" s="92">
        <f t="shared" si="38"/>
        <v>42.542483631421817</v>
      </c>
      <c r="J85" s="92">
        <f t="shared" si="38"/>
        <v>47.558055493226377</v>
      </c>
      <c r="K85" s="92">
        <f t="shared" si="38"/>
        <v>51.664371743948834</v>
      </c>
      <c r="L85" s="92">
        <f t="shared" si="38"/>
        <v>58.939295533031881</v>
      </c>
      <c r="M85" s="194"/>
      <c r="N85" s="194"/>
    </row>
    <row r="86" spans="2:14" ht="12.75" customHeight="1" x14ac:dyDescent="0.3">
      <c r="B86" s="183" t="s">
        <v>594</v>
      </c>
      <c r="C86" s="92" t="s">
        <v>181</v>
      </c>
      <c r="D86" s="92"/>
      <c r="E86" s="92"/>
      <c r="F86" s="505">
        <f>F57</f>
        <v>41.5</v>
      </c>
      <c r="G86" s="92"/>
      <c r="H86" s="92"/>
      <c r="I86" s="92"/>
      <c r="J86" s="92"/>
      <c r="K86" s="92"/>
      <c r="L86" s="92"/>
      <c r="M86" s="194"/>
      <c r="N86" s="194"/>
    </row>
    <row r="87" spans="2:14" ht="12.75" customHeight="1" x14ac:dyDescent="0.3">
      <c r="B87" s="183" t="s">
        <v>195</v>
      </c>
      <c r="C87" s="92"/>
      <c r="D87" s="92"/>
      <c r="E87" s="92"/>
      <c r="F87" s="92"/>
      <c r="G87" s="92"/>
      <c r="H87" s="92"/>
      <c r="I87" s="92"/>
      <c r="J87" s="92"/>
      <c r="K87" s="92"/>
      <c r="L87" s="92"/>
      <c r="M87" s="194"/>
      <c r="N87" s="194"/>
    </row>
    <row r="88" spans="2:14" ht="12.75" customHeight="1" x14ac:dyDescent="0.3">
      <c r="B88" s="184" t="s">
        <v>595</v>
      </c>
      <c r="C88" s="92" t="s">
        <v>196</v>
      </c>
      <c r="D88" s="207"/>
      <c r="E88" s="207">
        <v>0</v>
      </c>
      <c r="F88" s="207">
        <v>0</v>
      </c>
      <c r="G88" s="207">
        <v>0</v>
      </c>
      <c r="H88" s="207">
        <v>0</v>
      </c>
      <c r="I88" s="207">
        <v>0</v>
      </c>
      <c r="J88" s="207">
        <v>0</v>
      </c>
      <c r="K88" s="207">
        <v>0</v>
      </c>
      <c r="L88" s="207">
        <v>0</v>
      </c>
      <c r="M88" s="193"/>
      <c r="N88" s="193"/>
    </row>
    <row r="89" spans="2:14" ht="12.75" customHeight="1" x14ac:dyDescent="0.3">
      <c r="B89" s="184" t="s">
        <v>596</v>
      </c>
      <c r="C89" s="92" t="s">
        <v>65</v>
      </c>
      <c r="D89" s="92"/>
      <c r="E89" s="92">
        <f>Bioet_max!E11</f>
        <v>0</v>
      </c>
      <c r="F89" s="92">
        <f>F11</f>
        <v>2700</v>
      </c>
      <c r="G89" s="92">
        <f t="shared" ref="G89:L89" si="39">G11</f>
        <v>2700</v>
      </c>
      <c r="H89" s="92">
        <f t="shared" si="39"/>
        <v>2700</v>
      </c>
      <c r="I89" s="92">
        <f t="shared" si="39"/>
        <v>2700</v>
      </c>
      <c r="J89" s="92">
        <f t="shared" si="39"/>
        <v>2700</v>
      </c>
      <c r="K89" s="92">
        <f t="shared" si="39"/>
        <v>2700</v>
      </c>
      <c r="L89" s="92">
        <f t="shared" si="39"/>
        <v>2700</v>
      </c>
      <c r="M89" s="252" t="s">
        <v>1228</v>
      </c>
      <c r="N89" s="194"/>
    </row>
    <row r="90" spans="2:14" ht="12.75" customHeight="1" x14ac:dyDescent="0.3">
      <c r="B90" s="266" t="s">
        <v>598</v>
      </c>
      <c r="C90" s="245" t="s">
        <v>235</v>
      </c>
      <c r="D90" s="245"/>
      <c r="E90" s="251">
        <f>E65/1000</f>
        <v>0</v>
      </c>
      <c r="F90" s="251">
        <f t="shared" ref="F90:L90" si="40">F65/1000</f>
        <v>189</v>
      </c>
      <c r="G90" s="251">
        <f t="shared" si="40"/>
        <v>189</v>
      </c>
      <c r="H90" s="251">
        <f t="shared" si="40"/>
        <v>189</v>
      </c>
      <c r="I90" s="251">
        <f t="shared" si="40"/>
        <v>189</v>
      </c>
      <c r="J90" s="251">
        <f t="shared" si="40"/>
        <v>189</v>
      </c>
      <c r="K90" s="251">
        <f t="shared" si="40"/>
        <v>189</v>
      </c>
      <c r="L90" s="251">
        <f t="shared" si="40"/>
        <v>189</v>
      </c>
      <c r="M90" s="194"/>
      <c r="N90" s="194"/>
    </row>
    <row r="94" spans="2:14" ht="12.75" customHeight="1" x14ac:dyDescent="0.25">
      <c r="B94" s="964" t="s">
        <v>527</v>
      </c>
      <c r="C94" s="964" t="s">
        <v>528</v>
      </c>
      <c r="D94" s="964"/>
    </row>
    <row r="95" spans="2:14" ht="12.75" customHeight="1" x14ac:dyDescent="0.25">
      <c r="B95" s="964"/>
      <c r="C95" s="211" t="s">
        <v>531</v>
      </c>
      <c r="D95" s="211" t="s">
        <v>627</v>
      </c>
    </row>
    <row r="96" spans="2:14" ht="12.75" customHeight="1" x14ac:dyDescent="0.25">
      <c r="B96" s="212" t="s">
        <v>533</v>
      </c>
      <c r="C96" s="213">
        <v>0.4</v>
      </c>
      <c r="D96" s="214">
        <f>C96/$C$101</f>
        <v>0.54794520547945202</v>
      </c>
    </row>
    <row r="97" spans="2:5" ht="12.75" customHeight="1" x14ac:dyDescent="0.25">
      <c r="B97" s="220" t="s">
        <v>630</v>
      </c>
      <c r="C97" s="221">
        <v>0.15</v>
      </c>
      <c r="D97" s="214"/>
    </row>
    <row r="98" spans="2:5" ht="12.75" customHeight="1" x14ac:dyDescent="0.25">
      <c r="B98" s="220" t="s">
        <v>538</v>
      </c>
      <c r="C98" s="221">
        <v>0.25</v>
      </c>
      <c r="D98" s="214"/>
    </row>
    <row r="99" spans="2:5" ht="12.75" customHeight="1" x14ac:dyDescent="0.25">
      <c r="B99" s="212" t="s">
        <v>541</v>
      </c>
      <c r="C99" s="213">
        <v>0.28000000000000003</v>
      </c>
      <c r="D99" s="214">
        <f>C99/$C$101</f>
        <v>0.38356164383561642</v>
      </c>
    </row>
    <row r="100" spans="2:5" ht="12.75" customHeight="1" x14ac:dyDescent="0.25">
      <c r="B100" s="212" t="s">
        <v>544</v>
      </c>
      <c r="C100" s="213">
        <v>0.05</v>
      </c>
      <c r="D100" s="214">
        <f>C100/$C$101</f>
        <v>6.8493150684931503E-2</v>
      </c>
    </row>
    <row r="101" spans="2:5" ht="12.75" customHeight="1" x14ac:dyDescent="0.25">
      <c r="B101" s="215" t="s">
        <v>634</v>
      </c>
      <c r="C101" s="219">
        <f>C96+C99+C100</f>
        <v>0.73000000000000009</v>
      </c>
      <c r="D101" s="222">
        <f>C101/$C$101</f>
        <v>1</v>
      </c>
    </row>
    <row r="102" spans="2:5" ht="12.75" customHeight="1" x14ac:dyDescent="0.25">
      <c r="B102" s="212" t="s">
        <v>546</v>
      </c>
      <c r="C102" s="213">
        <v>0.01</v>
      </c>
      <c r="D102" s="214">
        <f>C102/$C$101</f>
        <v>1.3698630136986301E-2</v>
      </c>
      <c r="E102" s="153" t="s">
        <v>635</v>
      </c>
    </row>
    <row r="103" spans="2:5" ht="12.75" customHeight="1" x14ac:dyDescent="0.25">
      <c r="B103" s="216" t="s">
        <v>633</v>
      </c>
      <c r="C103" s="217">
        <f>C96+C99+C100+C102</f>
        <v>0.7400000000000001</v>
      </c>
      <c r="D103" s="218">
        <f>C103/$C$103</f>
        <v>1</v>
      </c>
    </row>
    <row r="104" spans="2:5" ht="12.75" customHeight="1" x14ac:dyDescent="0.25">
      <c r="B104" s="153"/>
    </row>
    <row r="105" spans="2:5" ht="12.75" customHeight="1" x14ac:dyDescent="0.3">
      <c r="B105" s="184" t="s">
        <v>740</v>
      </c>
      <c r="C105" s="214">
        <f>(D99+D100)*D105</f>
        <v>0.18082191780821918</v>
      </c>
      <c r="D105" s="227">
        <v>0.4</v>
      </c>
    </row>
    <row r="106" spans="2:5" ht="12.75" customHeight="1" x14ac:dyDescent="0.3">
      <c r="B106" s="184" t="s">
        <v>741</v>
      </c>
      <c r="C106" s="214">
        <f>(D99+D100)*D106</f>
        <v>0.27123287671232876</v>
      </c>
      <c r="D106" s="227">
        <v>0.6</v>
      </c>
    </row>
    <row r="107" spans="2:5" ht="12.75" customHeight="1" x14ac:dyDescent="0.3">
      <c r="B107" s="184" t="s">
        <v>590</v>
      </c>
      <c r="C107" s="214">
        <f>D96</f>
        <v>0.54794520547945202</v>
      </c>
    </row>
  </sheetData>
  <mergeCells count="2">
    <mergeCell ref="B94:B95"/>
    <mergeCell ref="C94:D94"/>
  </mergeCell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X106"/>
  <sheetViews>
    <sheetView topLeftCell="C57" zoomScale="125" zoomScaleNormal="125" zoomScalePageLayoutView="125" workbookViewId="0">
      <selection activeCell="N74" sqref="N74"/>
    </sheetView>
  </sheetViews>
  <sheetFormatPr defaultColWidth="17.109375" defaultRowHeight="12.75" customHeight="1" x14ac:dyDescent="0.25"/>
  <cols>
    <col min="1" max="1" width="7.6640625" style="97" customWidth="1"/>
    <col min="2" max="2" width="41.44140625" style="97" customWidth="1"/>
    <col min="3" max="3" width="9.6640625" style="97" customWidth="1"/>
    <col min="4" max="12" width="12" style="97" customWidth="1"/>
    <col min="13" max="16384" width="17.109375" style="97"/>
  </cols>
  <sheetData>
    <row r="2" spans="1:24" ht="15.6" x14ac:dyDescent="0.3">
      <c r="A2" s="99" t="s">
        <v>271</v>
      </c>
      <c r="B2" s="100"/>
      <c r="C2" s="100"/>
      <c r="M2" s="97" t="s">
        <v>7</v>
      </c>
      <c r="N2" s="97" t="s">
        <v>7</v>
      </c>
    </row>
    <row r="3" spans="1:24" ht="15.6" x14ac:dyDescent="0.3">
      <c r="A3" s="205"/>
      <c r="B3" s="206"/>
      <c r="C3" s="206"/>
      <c r="D3" s="112">
        <f t="shared" ref="D3:L3" si="0">D4*$C$8</f>
        <v>0</v>
      </c>
      <c r="E3" s="112">
        <f t="shared" si="0"/>
        <v>0</v>
      </c>
      <c r="F3" s="112">
        <f t="shared" si="0"/>
        <v>0</v>
      </c>
      <c r="G3" s="112">
        <f t="shared" si="0"/>
        <v>0</v>
      </c>
      <c r="H3" s="112">
        <f t="shared" si="0"/>
        <v>0</v>
      </c>
      <c r="I3" s="112">
        <f t="shared" si="0"/>
        <v>0</v>
      </c>
      <c r="J3" s="112">
        <f t="shared" si="0"/>
        <v>0</v>
      </c>
      <c r="K3" s="112">
        <f t="shared" si="0"/>
        <v>0</v>
      </c>
      <c r="L3" s="112">
        <f t="shared" si="0"/>
        <v>0</v>
      </c>
    </row>
    <row r="4" spans="1:24" ht="12.75" customHeight="1" x14ac:dyDescent="0.25">
      <c r="A4" s="97" t="s">
        <v>7</v>
      </c>
      <c r="B4" s="101" t="s">
        <v>234</v>
      </c>
      <c r="C4" s="97" t="s">
        <v>235</v>
      </c>
      <c r="D4" s="101">
        <v>0</v>
      </c>
      <c r="E4" s="101">
        <v>0</v>
      </c>
      <c r="F4" s="190">
        <f t="shared" ref="F4:L4" si="1">E4</f>
        <v>0</v>
      </c>
      <c r="G4" s="101">
        <f t="shared" si="1"/>
        <v>0</v>
      </c>
      <c r="H4" s="101">
        <f t="shared" si="1"/>
        <v>0</v>
      </c>
      <c r="I4" s="101">
        <f t="shared" si="1"/>
        <v>0</v>
      </c>
      <c r="J4" s="101">
        <f t="shared" si="1"/>
        <v>0</v>
      </c>
      <c r="K4" s="101">
        <f t="shared" si="1"/>
        <v>0</v>
      </c>
      <c r="L4" s="101">
        <f t="shared" si="1"/>
        <v>0</v>
      </c>
      <c r="M4" s="97" t="s">
        <v>7</v>
      </c>
    </row>
    <row r="5" spans="1:24" ht="12.75" customHeight="1" x14ac:dyDescent="0.25">
      <c r="A5" s="97" t="s">
        <v>7</v>
      </c>
      <c r="B5" s="104" t="s">
        <v>236</v>
      </c>
      <c r="C5" s="97" t="s">
        <v>235</v>
      </c>
      <c r="D5" s="104">
        <v>0</v>
      </c>
      <c r="E5" s="104">
        <f t="shared" ref="E5:L5" si="2">E4-D4</f>
        <v>0</v>
      </c>
      <c r="F5" s="104">
        <f t="shared" si="2"/>
        <v>0</v>
      </c>
      <c r="G5" s="104">
        <f t="shared" si="2"/>
        <v>0</v>
      </c>
      <c r="H5" s="104">
        <f t="shared" si="2"/>
        <v>0</v>
      </c>
      <c r="I5" s="104">
        <f t="shared" si="2"/>
        <v>0</v>
      </c>
      <c r="J5" s="104">
        <f t="shared" si="2"/>
        <v>0</v>
      </c>
      <c r="K5" s="104">
        <f t="shared" si="2"/>
        <v>0</v>
      </c>
      <c r="L5" s="104">
        <f t="shared" si="2"/>
        <v>0</v>
      </c>
    </row>
    <row r="6" spans="1:24" ht="12.75" customHeight="1" x14ac:dyDescent="0.25">
      <c r="B6" s="97" t="s">
        <v>7</v>
      </c>
      <c r="C6" s="97" t="s">
        <v>7</v>
      </c>
      <c r="D6" s="97" t="s">
        <v>7</v>
      </c>
      <c r="E6" s="97" t="s">
        <v>7</v>
      </c>
      <c r="F6" s="97" t="s">
        <v>7</v>
      </c>
      <c r="G6" s="97" t="s">
        <v>7</v>
      </c>
      <c r="H6" s="97" t="s">
        <v>7</v>
      </c>
      <c r="I6" s="97" t="s">
        <v>7</v>
      </c>
      <c r="J6" s="97" t="s">
        <v>7</v>
      </c>
      <c r="K6" s="97" t="s">
        <v>7</v>
      </c>
      <c r="L6" s="97" t="s">
        <v>7</v>
      </c>
    </row>
    <row r="7" spans="1:24" ht="40.5" customHeight="1" x14ac:dyDescent="0.25">
      <c r="C7" s="226" t="s">
        <v>237</v>
      </c>
      <c r="D7" s="226" t="s">
        <v>134</v>
      </c>
      <c r="E7" s="226" t="s">
        <v>135</v>
      </c>
      <c r="F7" s="226">
        <v>7.5</v>
      </c>
      <c r="G7" s="226" t="s">
        <v>27</v>
      </c>
      <c r="M7" s="97" t="s">
        <v>21</v>
      </c>
      <c r="O7" s="112"/>
      <c r="P7" s="97">
        <v>1000</v>
      </c>
    </row>
    <row r="8" spans="1:24" ht="12.75" customHeight="1" x14ac:dyDescent="0.25">
      <c r="C8" s="226">
        <f>'Bioetanooli abitabelid'!D45</f>
        <v>1234.5999999999999</v>
      </c>
      <c r="D8" s="226">
        <v>3.6</v>
      </c>
      <c r="E8" s="226">
        <v>2.3883999999999999E-2</v>
      </c>
      <c r="F8" s="226">
        <f>27/1000</f>
        <v>2.7E-2</v>
      </c>
      <c r="G8" s="226" t="s">
        <v>238</v>
      </c>
      <c r="M8" s="97">
        <v>27</v>
      </c>
      <c r="N8" s="97" t="s">
        <v>23</v>
      </c>
      <c r="O8" s="97" t="s">
        <v>239</v>
      </c>
      <c r="P8" s="97">
        <f>M8/P7</f>
        <v>2.7E-2</v>
      </c>
    </row>
    <row r="9" spans="1:24" ht="12.75" customHeight="1" x14ac:dyDescent="0.25">
      <c r="B9" s="154" t="s">
        <v>240</v>
      </c>
      <c r="C9" s="97" t="s">
        <v>143</v>
      </c>
      <c r="D9" s="106">
        <v>2010</v>
      </c>
      <c r="E9" s="106">
        <v>2015</v>
      </c>
      <c r="F9" s="106">
        <v>2020</v>
      </c>
      <c r="G9" s="106">
        <v>2025</v>
      </c>
      <c r="H9" s="106">
        <v>2030</v>
      </c>
      <c r="I9" s="106">
        <v>2035</v>
      </c>
      <c r="J9" s="106">
        <v>2040</v>
      </c>
      <c r="K9" s="106">
        <v>2045</v>
      </c>
      <c r="L9" s="106">
        <v>2050</v>
      </c>
      <c r="M9" s="191">
        <v>41401</v>
      </c>
      <c r="N9" s="97" t="s">
        <v>27</v>
      </c>
    </row>
    <row r="10" spans="1:24" ht="12.75" customHeight="1" x14ac:dyDescent="0.25">
      <c r="B10" s="169" t="s">
        <v>241</v>
      </c>
      <c r="C10" s="97" t="s">
        <v>147</v>
      </c>
      <c r="D10" s="112">
        <f t="shared" ref="D10:L10" si="3">(D4*$F$7)/1000</f>
        <v>0</v>
      </c>
      <c r="E10" s="112">
        <f t="shared" si="3"/>
        <v>0</v>
      </c>
      <c r="F10" s="112">
        <f t="shared" si="3"/>
        <v>0</v>
      </c>
      <c r="G10" s="112">
        <f t="shared" si="3"/>
        <v>0</v>
      </c>
      <c r="H10" s="112">
        <f t="shared" si="3"/>
        <v>0</v>
      </c>
      <c r="I10" s="112">
        <f t="shared" si="3"/>
        <v>0</v>
      </c>
      <c r="J10" s="112">
        <f t="shared" si="3"/>
        <v>0</v>
      </c>
      <c r="K10" s="112">
        <f t="shared" si="3"/>
        <v>0</v>
      </c>
      <c r="L10" s="112">
        <f t="shared" si="3"/>
        <v>0</v>
      </c>
      <c r="M10" s="107">
        <v>6</v>
      </c>
      <c r="N10" s="97" t="s">
        <v>30</v>
      </c>
      <c r="S10" s="97">
        <v>2000</v>
      </c>
      <c r="T10" s="97">
        <v>2630</v>
      </c>
      <c r="U10" s="97">
        <v>3000</v>
      </c>
      <c r="V10" s="97">
        <v>3240</v>
      </c>
      <c r="W10" s="97">
        <v>3500</v>
      </c>
      <c r="X10" s="97">
        <v>3708</v>
      </c>
    </row>
    <row r="11" spans="1:24" ht="12.75" hidden="1" customHeight="1" x14ac:dyDescent="0.25">
      <c r="B11" s="169" t="s">
        <v>241</v>
      </c>
      <c r="C11" s="109" t="s">
        <v>65</v>
      </c>
      <c r="D11" s="110">
        <f>D10*$D$8</f>
        <v>0</v>
      </c>
      <c r="E11" s="110">
        <f>E10*D8</f>
        <v>0</v>
      </c>
      <c r="F11" s="110">
        <f t="shared" ref="F11:L11" si="4">F10*$D$8</f>
        <v>0</v>
      </c>
      <c r="G11" s="110">
        <f t="shared" si="4"/>
        <v>0</v>
      </c>
      <c r="H11" s="110">
        <f t="shared" si="4"/>
        <v>0</v>
      </c>
      <c r="I11" s="110">
        <f t="shared" si="4"/>
        <v>0</v>
      </c>
      <c r="J11" s="110">
        <f t="shared" si="4"/>
        <v>0</v>
      </c>
      <c r="K11" s="110">
        <f t="shared" si="4"/>
        <v>0</v>
      </c>
      <c r="L11" s="110">
        <f t="shared" si="4"/>
        <v>0</v>
      </c>
      <c r="S11" s="97">
        <v>2000</v>
      </c>
      <c r="T11" s="97">
        <v>2630</v>
      </c>
      <c r="U11" s="97">
        <v>3000</v>
      </c>
      <c r="V11" s="97">
        <v>3240</v>
      </c>
      <c r="W11" s="97">
        <v>3500</v>
      </c>
      <c r="X11" s="97">
        <v>3708</v>
      </c>
    </row>
    <row r="12" spans="1:24" ht="12.75" hidden="1" customHeight="1" x14ac:dyDescent="0.25">
      <c r="B12" s="169"/>
      <c r="C12" s="104"/>
      <c r="E12" s="112"/>
      <c r="F12" s="112"/>
      <c r="G12" s="112"/>
      <c r="H12" s="112"/>
      <c r="I12" s="112"/>
      <c r="J12" s="112"/>
      <c r="K12" s="112"/>
      <c r="L12" s="112"/>
    </row>
    <row r="13" spans="1:24" ht="12.75" hidden="1" customHeight="1" x14ac:dyDescent="0.25">
      <c r="B13" s="169"/>
      <c r="C13" s="104"/>
      <c r="E13" s="112"/>
      <c r="F13" s="112"/>
      <c r="G13" s="112"/>
      <c r="H13" s="112"/>
      <c r="I13" s="112"/>
      <c r="J13" s="112"/>
      <c r="K13" s="112"/>
      <c r="L13" s="112"/>
    </row>
    <row r="14" spans="1:24" ht="12.75" hidden="1" customHeight="1" x14ac:dyDescent="0.25">
      <c r="B14" s="169" t="s">
        <v>241</v>
      </c>
      <c r="C14" s="97" t="s">
        <v>16</v>
      </c>
      <c r="D14" s="115">
        <f t="shared" ref="D14:L14" si="5">D11*$E$8</f>
        <v>0</v>
      </c>
      <c r="E14" s="112">
        <f t="shared" si="5"/>
        <v>0</v>
      </c>
      <c r="F14" s="112">
        <f t="shared" si="5"/>
        <v>0</v>
      </c>
      <c r="G14" s="112">
        <f t="shared" si="5"/>
        <v>0</v>
      </c>
      <c r="H14" s="112">
        <f t="shared" si="5"/>
        <v>0</v>
      </c>
      <c r="I14" s="112">
        <f t="shared" si="5"/>
        <v>0</v>
      </c>
      <c r="J14" s="112">
        <f t="shared" si="5"/>
        <v>0</v>
      </c>
      <c r="K14" s="112">
        <f t="shared" si="5"/>
        <v>0</v>
      </c>
      <c r="L14" s="112">
        <f t="shared" si="5"/>
        <v>0</v>
      </c>
      <c r="N14" s="115"/>
    </row>
    <row r="15" spans="1:24" ht="12.75" hidden="1" customHeight="1" x14ac:dyDescent="0.25">
      <c r="B15" s="169"/>
      <c r="D15" s="107"/>
      <c r="E15" s="107"/>
      <c r="F15" s="107">
        <v>92</v>
      </c>
      <c r="G15" s="107"/>
      <c r="H15" s="107"/>
      <c r="I15" s="107"/>
      <c r="J15" s="107"/>
      <c r="K15" s="107"/>
      <c r="L15" s="107"/>
    </row>
    <row r="16" spans="1:24" ht="12.75" customHeight="1" x14ac:dyDescent="0.25">
      <c r="B16" s="174" t="s">
        <v>242</v>
      </c>
      <c r="D16" s="107"/>
      <c r="E16" s="107"/>
      <c r="F16" s="107"/>
      <c r="G16" s="107"/>
      <c r="H16" s="107"/>
      <c r="I16" s="107"/>
      <c r="J16" s="107"/>
      <c r="K16" s="107"/>
      <c r="L16" s="107"/>
    </row>
    <row r="17" spans="1:12" ht="12.75" customHeight="1" x14ac:dyDescent="0.3">
      <c r="B17" s="172" t="s">
        <v>1145</v>
      </c>
      <c r="C17" s="308" t="s">
        <v>65</v>
      </c>
      <c r="D17" s="589">
        <v>0</v>
      </c>
      <c r="E17" s="590">
        <v>576.9425791439146</v>
      </c>
      <c r="F17" s="591">
        <v>1153.8851582878292</v>
      </c>
      <c r="G17" s="590">
        <v>1155.9002222849845</v>
      </c>
      <c r="H17" s="591">
        <v>1157.9152862821397</v>
      </c>
      <c r="I17" s="590">
        <v>1113.5580971292427</v>
      </c>
      <c r="J17" s="592">
        <v>1069.2009079763457</v>
      </c>
      <c r="K17" s="592">
        <v>1047.0223133998973</v>
      </c>
      <c r="L17" s="593">
        <v>980.48652967055182</v>
      </c>
    </row>
    <row r="18" spans="1:12" ht="12.75" hidden="1" customHeight="1" x14ac:dyDescent="0.25">
      <c r="B18" s="169"/>
      <c r="C18" s="97" t="s">
        <v>16</v>
      </c>
      <c r="D18" s="97">
        <v>0</v>
      </c>
      <c r="E18" s="97">
        <v>13</v>
      </c>
      <c r="F18" s="97">
        <v>26</v>
      </c>
      <c r="G18" s="97">
        <v>32</v>
      </c>
      <c r="H18" s="97">
        <v>37</v>
      </c>
      <c r="I18" s="97">
        <v>30</v>
      </c>
      <c r="J18" s="97">
        <v>23</v>
      </c>
      <c r="K18" s="97">
        <v>19</v>
      </c>
      <c r="L18" s="97">
        <v>8</v>
      </c>
    </row>
    <row r="19" spans="1:12" ht="12.75" hidden="1" customHeight="1" x14ac:dyDescent="0.25">
      <c r="B19" s="169"/>
      <c r="D19" s="107"/>
      <c r="E19" s="107"/>
      <c r="F19" s="107" t="s">
        <v>7</v>
      </c>
      <c r="G19" s="107"/>
      <c r="H19" s="107"/>
      <c r="I19" s="107"/>
      <c r="J19" s="107"/>
      <c r="K19" s="107"/>
      <c r="L19" s="107"/>
    </row>
    <row r="20" spans="1:12" ht="12.75" customHeight="1" x14ac:dyDescent="0.25">
      <c r="B20" s="169" t="s">
        <v>151</v>
      </c>
      <c r="C20" s="97" t="s">
        <v>65</v>
      </c>
      <c r="D20" s="112">
        <v>29886</v>
      </c>
      <c r="E20" s="112">
        <v>30550</v>
      </c>
      <c r="F20" s="112">
        <v>31214</v>
      </c>
      <c r="G20" s="112">
        <v>29871</v>
      </c>
      <c r="H20" s="112">
        <v>28528</v>
      </c>
      <c r="I20" s="112">
        <v>25275</v>
      </c>
      <c r="J20" s="112">
        <v>22021</v>
      </c>
      <c r="K20" s="112">
        <v>20395</v>
      </c>
      <c r="L20" s="112">
        <v>15515</v>
      </c>
    </row>
    <row r="21" spans="1:12" ht="12.75" hidden="1" customHeight="1" x14ac:dyDescent="0.25">
      <c r="B21" s="169"/>
      <c r="C21" s="97" t="s">
        <v>16</v>
      </c>
      <c r="D21" s="97">
        <v>714</v>
      </c>
      <c r="E21" s="97">
        <v>730</v>
      </c>
      <c r="F21" s="97">
        <v>746</v>
      </c>
      <c r="G21" s="97">
        <v>713</v>
      </c>
      <c r="H21" s="97">
        <v>681</v>
      </c>
      <c r="I21" s="97">
        <v>604</v>
      </c>
      <c r="J21" s="97">
        <v>526</v>
      </c>
      <c r="K21" s="97">
        <v>487</v>
      </c>
      <c r="L21" s="97">
        <v>371</v>
      </c>
    </row>
    <row r="22" spans="1:12" ht="12.75" customHeight="1" x14ac:dyDescent="0.25">
      <c r="B22" s="169" t="s">
        <v>243</v>
      </c>
      <c r="C22" s="97" t="s">
        <v>154</v>
      </c>
      <c r="D22" s="152">
        <f t="shared" ref="D22:L22" si="6">D17/D20</f>
        <v>0</v>
      </c>
      <c r="E22" s="152">
        <f t="shared" si="6"/>
        <v>1.8885190806674782E-2</v>
      </c>
      <c r="F22" s="152">
        <f t="shared" si="6"/>
        <v>3.6966910946621044E-2</v>
      </c>
      <c r="G22" s="152">
        <f t="shared" si="6"/>
        <v>3.8696401937832157E-2</v>
      </c>
      <c r="H22" s="152">
        <f t="shared" si="6"/>
        <v>4.0588729889306639E-2</v>
      </c>
      <c r="I22" s="152">
        <f t="shared" si="6"/>
        <v>4.4057689302838487E-2</v>
      </c>
      <c r="J22" s="152">
        <f t="shared" si="6"/>
        <v>4.855369456320538E-2</v>
      </c>
      <c r="K22" s="152">
        <f t="shared" si="6"/>
        <v>5.1337205854371036E-2</v>
      </c>
      <c r="L22" s="152">
        <f t="shared" si="6"/>
        <v>6.3196038006480937E-2</v>
      </c>
    </row>
    <row r="23" spans="1:12" ht="12.75" customHeight="1" x14ac:dyDescent="0.25">
      <c r="B23" s="169" t="s">
        <v>244</v>
      </c>
      <c r="C23" s="97" t="s">
        <v>65</v>
      </c>
      <c r="D23" s="112">
        <v>0</v>
      </c>
      <c r="E23" s="112">
        <f t="shared" ref="E23:L23" si="7">E17</f>
        <v>576.9425791439146</v>
      </c>
      <c r="F23" s="112">
        <f t="shared" si="7"/>
        <v>1153.8851582878292</v>
      </c>
      <c r="G23" s="112">
        <f t="shared" si="7"/>
        <v>1155.9002222849845</v>
      </c>
      <c r="H23" s="112">
        <f t="shared" si="7"/>
        <v>1157.9152862821397</v>
      </c>
      <c r="I23" s="112">
        <f t="shared" si="7"/>
        <v>1113.5580971292427</v>
      </c>
      <c r="J23" s="112">
        <f t="shared" si="7"/>
        <v>1069.2009079763457</v>
      </c>
      <c r="K23" s="112">
        <f t="shared" si="7"/>
        <v>1047.0223133998973</v>
      </c>
      <c r="L23" s="112">
        <f t="shared" si="7"/>
        <v>980.48652967055182</v>
      </c>
    </row>
    <row r="24" spans="1:12" ht="12.75" customHeight="1" x14ac:dyDescent="0.25">
      <c r="B24" s="169" t="s">
        <v>245</v>
      </c>
      <c r="C24" s="97" t="s">
        <v>65</v>
      </c>
      <c r="D24" s="112">
        <f>D11-D17</f>
        <v>0</v>
      </c>
      <c r="E24" s="112">
        <v>0</v>
      </c>
      <c r="F24" s="112">
        <f t="shared" ref="F24:L24" si="8">F11-F17</f>
        <v>-1153.8851582878292</v>
      </c>
      <c r="G24" s="112">
        <f t="shared" si="8"/>
        <v>-1155.9002222849845</v>
      </c>
      <c r="H24" s="112">
        <f t="shared" si="8"/>
        <v>-1157.9152862821397</v>
      </c>
      <c r="I24" s="112">
        <f t="shared" si="8"/>
        <v>-1113.5580971292427</v>
      </c>
      <c r="J24" s="112">
        <f t="shared" si="8"/>
        <v>-1069.2009079763457</v>
      </c>
      <c r="K24" s="112">
        <f t="shared" si="8"/>
        <v>-1047.0223133998973</v>
      </c>
      <c r="L24" s="112">
        <f t="shared" si="8"/>
        <v>-980.48652967055182</v>
      </c>
    </row>
    <row r="25" spans="1:12" ht="12.75" hidden="1" customHeight="1" x14ac:dyDescent="0.25">
      <c r="B25" s="169"/>
      <c r="C25" s="97" t="s">
        <v>16</v>
      </c>
      <c r="D25" s="107">
        <f t="shared" ref="D25:L25" si="9">D24*$E$8</f>
        <v>0</v>
      </c>
      <c r="E25" s="107">
        <f t="shared" si="9"/>
        <v>0</v>
      </c>
      <c r="F25" s="107">
        <f t="shared" si="9"/>
        <v>-27.55939312054651</v>
      </c>
      <c r="G25" s="107">
        <f t="shared" si="9"/>
        <v>-27.607520909054568</v>
      </c>
      <c r="H25" s="107">
        <f t="shared" si="9"/>
        <v>-27.655648697562626</v>
      </c>
      <c r="I25" s="107">
        <f t="shared" si="9"/>
        <v>-26.59622159183483</v>
      </c>
      <c r="J25" s="107">
        <f t="shared" si="9"/>
        <v>-25.536794486107038</v>
      </c>
      <c r="K25" s="107">
        <f t="shared" si="9"/>
        <v>-25.007080933243145</v>
      </c>
      <c r="L25" s="107">
        <f t="shared" si="9"/>
        <v>-23.417940274651457</v>
      </c>
    </row>
    <row r="26" spans="1:12" ht="12.75" customHeight="1" x14ac:dyDescent="0.25">
      <c r="B26" s="169" t="s">
        <v>246</v>
      </c>
      <c r="C26" s="97" t="s">
        <v>154</v>
      </c>
      <c r="D26" s="227">
        <v>0</v>
      </c>
      <c r="E26" s="227">
        <v>0</v>
      </c>
      <c r="F26" s="227">
        <f t="shared" ref="F26:L26" si="10">E26</f>
        <v>0</v>
      </c>
      <c r="G26" s="227">
        <f t="shared" si="10"/>
        <v>0</v>
      </c>
      <c r="H26" s="227">
        <f t="shared" si="10"/>
        <v>0</v>
      </c>
      <c r="I26" s="227">
        <f t="shared" si="10"/>
        <v>0</v>
      </c>
      <c r="J26" s="227">
        <f t="shared" si="10"/>
        <v>0</v>
      </c>
      <c r="K26" s="227">
        <f t="shared" si="10"/>
        <v>0</v>
      </c>
      <c r="L26" s="227">
        <f t="shared" si="10"/>
        <v>0</v>
      </c>
    </row>
    <row r="27" spans="1:12" ht="12.75" customHeight="1" x14ac:dyDescent="0.25">
      <c r="B27" s="154" t="s">
        <v>619</v>
      </c>
      <c r="D27" s="116"/>
      <c r="E27" s="116"/>
      <c r="F27" s="116"/>
      <c r="G27" s="116"/>
      <c r="H27" s="116"/>
      <c r="I27" s="116"/>
      <c r="J27" s="116"/>
      <c r="K27" s="116"/>
      <c r="L27" s="116"/>
    </row>
    <row r="28" spans="1:12" ht="12.75" customHeight="1" x14ac:dyDescent="0.25">
      <c r="A28" s="97">
        <f>'Bioetanooli abitabelid'!D40</f>
        <v>0.85500399999999999</v>
      </c>
      <c r="B28" s="169" t="s">
        <v>247</v>
      </c>
      <c r="D28" s="107">
        <f>(D29/10)/3.6</f>
        <v>0.64125299999999996</v>
      </c>
      <c r="E28" s="107"/>
      <c r="F28" s="107"/>
      <c r="G28" s="107"/>
      <c r="H28" s="107"/>
      <c r="I28" s="107"/>
      <c r="J28" s="107"/>
      <c r="K28" s="107"/>
      <c r="L28" s="107"/>
    </row>
    <row r="29" spans="1:12" ht="12.75" customHeight="1" x14ac:dyDescent="0.25">
      <c r="A29" s="97">
        <f>(A28*F7)*D8</f>
        <v>23.085108000000002</v>
      </c>
      <c r="B29" s="169" t="s">
        <v>248</v>
      </c>
      <c r="C29" s="97" t="s">
        <v>158</v>
      </c>
      <c r="D29" s="118">
        <f>A29</f>
        <v>23.085108000000002</v>
      </c>
      <c r="E29" s="107">
        <f t="shared" ref="E29:L29" si="11">D29*1.01</f>
        <v>23.315959080000003</v>
      </c>
      <c r="F29" s="107">
        <f t="shared" si="11"/>
        <v>23.549118670800002</v>
      </c>
      <c r="G29" s="107">
        <f t="shared" si="11"/>
        <v>23.784609857508002</v>
      </c>
      <c r="H29" s="107">
        <f t="shared" si="11"/>
        <v>24.022455956083082</v>
      </c>
      <c r="I29" s="107">
        <f t="shared" si="11"/>
        <v>24.262680515643915</v>
      </c>
      <c r="J29" s="107">
        <f t="shared" si="11"/>
        <v>24.505307320800355</v>
      </c>
      <c r="K29" s="107">
        <f t="shared" si="11"/>
        <v>24.750360394008361</v>
      </c>
      <c r="L29" s="107">
        <f t="shared" si="11"/>
        <v>24.997863997948446</v>
      </c>
    </row>
    <row r="30" spans="1:12" ht="12.75" hidden="1" customHeight="1" x14ac:dyDescent="0.25">
      <c r="A30" s="115"/>
      <c r="B30" s="169"/>
      <c r="D30" s="107"/>
      <c r="E30" s="107"/>
      <c r="F30" s="107"/>
      <c r="G30" s="107"/>
      <c r="H30" s="107"/>
      <c r="I30" s="107"/>
      <c r="J30" s="107"/>
      <c r="K30" s="107"/>
      <c r="L30" s="107"/>
    </row>
    <row r="31" spans="1:12" ht="12.75" hidden="1" customHeight="1" x14ac:dyDescent="0.25">
      <c r="A31" s="115"/>
      <c r="B31" s="169"/>
    </row>
    <row r="32" spans="1:12" ht="12.75" hidden="1" customHeight="1" x14ac:dyDescent="0.25">
      <c r="B32" s="169"/>
      <c r="E32" s="107"/>
      <c r="F32" s="107"/>
      <c r="G32" s="107"/>
      <c r="H32" s="107"/>
      <c r="I32" s="107"/>
      <c r="J32" s="107"/>
      <c r="K32" s="107"/>
      <c r="L32" s="107"/>
    </row>
    <row r="33" spans="1:20" ht="12.75" hidden="1" customHeight="1" x14ac:dyDescent="0.25">
      <c r="A33" s="115"/>
      <c r="B33" s="169"/>
      <c r="E33" s="112"/>
      <c r="F33" s="112"/>
      <c r="G33" s="112"/>
      <c r="H33" s="112"/>
      <c r="I33" s="112"/>
      <c r="J33" s="112"/>
      <c r="K33" s="112"/>
      <c r="L33" s="112"/>
    </row>
    <row r="34" spans="1:20" ht="12.75" hidden="1" customHeight="1" x14ac:dyDescent="0.25">
      <c r="B34" s="169"/>
      <c r="D34" s="107"/>
      <c r="E34" s="107"/>
      <c r="F34" s="107"/>
      <c r="G34" s="107"/>
      <c r="H34" s="107"/>
      <c r="I34" s="107"/>
      <c r="J34" s="107"/>
      <c r="K34" s="107"/>
      <c r="L34" s="107"/>
    </row>
    <row r="35" spans="1:20" ht="12.75" hidden="1" customHeight="1" x14ac:dyDescent="0.25">
      <c r="B35" s="169"/>
      <c r="D35" s="107"/>
      <c r="E35" s="107"/>
      <c r="F35" s="107"/>
      <c r="G35" s="107"/>
      <c r="H35" s="107"/>
      <c r="I35" s="107"/>
      <c r="J35" s="107"/>
      <c r="K35" s="107"/>
      <c r="L35" s="107"/>
    </row>
    <row r="36" spans="1:20" ht="12.75" hidden="1" customHeight="1" x14ac:dyDescent="0.25">
      <c r="B36" s="169"/>
      <c r="D36" s="107"/>
      <c r="E36" s="107"/>
      <c r="F36" s="107"/>
      <c r="G36" s="107"/>
      <c r="H36" s="107"/>
      <c r="I36" s="107"/>
      <c r="J36" s="107"/>
      <c r="K36" s="107"/>
      <c r="L36" s="107"/>
    </row>
    <row r="37" spans="1:20" ht="12.75" hidden="1" customHeight="1" x14ac:dyDescent="0.25">
      <c r="B37" s="169"/>
      <c r="D37" s="107"/>
      <c r="E37" s="107"/>
      <c r="F37" s="107"/>
      <c r="G37" s="107"/>
      <c r="H37" s="107"/>
      <c r="I37" s="107"/>
      <c r="J37" s="107"/>
      <c r="K37" s="107"/>
      <c r="L37" s="107"/>
    </row>
    <row r="38" spans="1:20" ht="12.75" customHeight="1" x14ac:dyDescent="0.25">
      <c r="B38" s="169" t="s">
        <v>249</v>
      </c>
      <c r="C38" s="97" t="s">
        <v>169</v>
      </c>
      <c r="D38" s="107">
        <f>(D30*D24)/1000</f>
        <v>0</v>
      </c>
      <c r="E38" s="115">
        <f>(E30*E24)/1000</f>
        <v>0</v>
      </c>
      <c r="F38" s="107">
        <f>(F29*F24)/1000</f>
        <v>-27.172978524994935</v>
      </c>
      <c r="G38" s="107">
        <f>(G29*G24)/1000</f>
        <v>-27.492635821255131</v>
      </c>
      <c r="H38" s="107">
        <f t="shared" ref="H38:L38" si="12">(H29*H24)/1000</f>
        <v>-27.815968965588034</v>
      </c>
      <c r="I38" s="107">
        <f t="shared" si="12"/>
        <v>-27.01790434625519</v>
      </c>
      <c r="J38" s="107">
        <f t="shared" si="12"/>
        <v>-26.201096837639131</v>
      </c>
      <c r="K38" s="107">
        <f t="shared" si="12"/>
        <v>-25.914179597215824</v>
      </c>
      <c r="L38" s="107">
        <f t="shared" si="12"/>
        <v>-24.510068920524901</v>
      </c>
    </row>
    <row r="39" spans="1:20" ht="12.75" customHeight="1" x14ac:dyDescent="0.25">
      <c r="B39" s="169" t="s">
        <v>250</v>
      </c>
      <c r="C39" s="97" t="s">
        <v>169</v>
      </c>
      <c r="D39" s="107">
        <f>(D17*D30)/1000</f>
        <v>0</v>
      </c>
      <c r="E39" s="115">
        <f>(E17*E30)/1000</f>
        <v>0</v>
      </c>
      <c r="F39" s="107">
        <f>(F17*F29)/1000</f>
        <v>27.172978524994935</v>
      </c>
      <c r="G39" s="107">
        <f t="shared" ref="G39:L39" si="13">(G17*G29)/1000</f>
        <v>27.492635821255131</v>
      </c>
      <c r="H39" s="107">
        <f t="shared" si="13"/>
        <v>27.815968965588034</v>
      </c>
      <c r="I39" s="107">
        <f t="shared" si="13"/>
        <v>27.01790434625519</v>
      </c>
      <c r="J39" s="107">
        <f t="shared" si="13"/>
        <v>26.201096837639131</v>
      </c>
      <c r="K39" s="107">
        <f t="shared" si="13"/>
        <v>25.914179597215824</v>
      </c>
      <c r="L39" s="107">
        <f t="shared" si="13"/>
        <v>24.510068920524901</v>
      </c>
    </row>
    <row r="40" spans="1:20" ht="12.75" customHeight="1" x14ac:dyDescent="0.25">
      <c r="A40" s="119"/>
      <c r="B40" s="171" t="s">
        <v>251</v>
      </c>
      <c r="C40" s="120" t="s">
        <v>169</v>
      </c>
      <c r="D40" s="121">
        <f t="shared" ref="D40:L40" si="14">D39+D38</f>
        <v>0</v>
      </c>
      <c r="E40" s="122">
        <f t="shared" si="14"/>
        <v>0</v>
      </c>
      <c r="F40" s="121">
        <f t="shared" si="14"/>
        <v>0</v>
      </c>
      <c r="G40" s="121">
        <f t="shared" si="14"/>
        <v>0</v>
      </c>
      <c r="H40" s="121">
        <f t="shared" si="14"/>
        <v>0</v>
      </c>
      <c r="I40" s="121">
        <f t="shared" si="14"/>
        <v>0</v>
      </c>
      <c r="J40" s="121">
        <f t="shared" si="14"/>
        <v>0</v>
      </c>
      <c r="K40" s="121">
        <f t="shared" si="14"/>
        <v>0</v>
      </c>
      <c r="L40" s="121">
        <f t="shared" si="14"/>
        <v>0</v>
      </c>
      <c r="M40" s="119"/>
      <c r="N40" s="119"/>
      <c r="O40" s="119"/>
      <c r="P40" s="119"/>
      <c r="Q40" s="119"/>
      <c r="R40" s="119"/>
      <c r="S40" s="119"/>
      <c r="T40" s="119"/>
    </row>
    <row r="41" spans="1:20" ht="12.75" hidden="1" customHeight="1" x14ac:dyDescent="0.25">
      <c r="C41" s="120"/>
      <c r="D41" s="107"/>
      <c r="E41" s="107"/>
      <c r="F41" s="107"/>
      <c r="G41" s="107"/>
      <c r="H41" s="107"/>
      <c r="I41" s="107"/>
      <c r="J41" s="107"/>
      <c r="K41" s="107"/>
      <c r="L41" s="107"/>
    </row>
    <row r="42" spans="1:20" ht="12.75" hidden="1" customHeight="1" x14ac:dyDescent="0.25">
      <c r="B42" s="97" t="s">
        <v>252</v>
      </c>
      <c r="C42" s="97" t="s">
        <v>253</v>
      </c>
      <c r="D42" s="124">
        <f>170000000/100000</f>
        <v>1700</v>
      </c>
      <c r="E42" s="107"/>
      <c r="F42" s="107"/>
      <c r="G42" s="107"/>
      <c r="H42" s="107"/>
      <c r="I42" s="107"/>
      <c r="J42" s="107"/>
      <c r="K42" s="107"/>
      <c r="L42" s="107"/>
    </row>
    <row r="43" spans="1:20" ht="12.75" hidden="1" customHeight="1" x14ac:dyDescent="0.25">
      <c r="B43" s="97" t="s">
        <v>174</v>
      </c>
      <c r="C43" s="97" t="s">
        <v>166</v>
      </c>
      <c r="D43" s="107">
        <f t="shared" ref="D43:L43" si="15">(D4*$D$42)/1000000</f>
        <v>0</v>
      </c>
      <c r="E43" s="107">
        <f t="shared" si="15"/>
        <v>0</v>
      </c>
      <c r="F43" s="107">
        <f t="shared" si="15"/>
        <v>0</v>
      </c>
      <c r="G43" s="107">
        <f t="shared" si="15"/>
        <v>0</v>
      </c>
      <c r="H43" s="107">
        <f t="shared" si="15"/>
        <v>0</v>
      </c>
      <c r="I43" s="107">
        <f t="shared" si="15"/>
        <v>0</v>
      </c>
      <c r="J43" s="107">
        <f t="shared" si="15"/>
        <v>0</v>
      </c>
      <c r="K43" s="107">
        <f t="shared" si="15"/>
        <v>0</v>
      </c>
      <c r="L43" s="107">
        <f t="shared" si="15"/>
        <v>0</v>
      </c>
      <c r="M43" s="115"/>
      <c r="O43" s="115"/>
    </row>
    <row r="44" spans="1:20" ht="12.75" hidden="1" customHeight="1" x14ac:dyDescent="0.25">
      <c r="D44" s="107"/>
      <c r="E44" s="107"/>
      <c r="F44" s="107"/>
      <c r="G44" s="107"/>
      <c r="H44" s="107"/>
      <c r="I44" s="107"/>
      <c r="J44" s="107"/>
      <c r="K44" s="107"/>
      <c r="L44" s="107"/>
      <c r="O44" s="115"/>
    </row>
    <row r="45" spans="1:20" ht="12.75" customHeight="1" x14ac:dyDescent="0.25">
      <c r="B45" s="154" t="s">
        <v>612</v>
      </c>
      <c r="D45" s="107"/>
      <c r="E45" s="107"/>
      <c r="F45" s="107"/>
      <c r="G45" s="107"/>
      <c r="H45" s="107"/>
      <c r="I45" s="107"/>
      <c r="J45" s="107"/>
      <c r="K45" s="107"/>
      <c r="L45" s="107"/>
      <c r="O45" s="115"/>
    </row>
    <row r="46" spans="1:20" ht="12.75" customHeight="1" x14ac:dyDescent="0.25">
      <c r="B46" s="169" t="s">
        <v>254</v>
      </c>
      <c r="C46" s="127">
        <f>'Bioetanooli abitabelid'!C44</f>
        <v>0.307</v>
      </c>
    </row>
    <row r="47" spans="1:20" ht="12.75" customHeight="1" x14ac:dyDescent="0.25">
      <c r="B47" s="169" t="s">
        <v>255</v>
      </c>
      <c r="C47" s="97" t="s">
        <v>178</v>
      </c>
      <c r="D47" s="128">
        <f>($C$46*C46)/1000</f>
        <v>9.4248999999999998E-5</v>
      </c>
      <c r="E47" s="128">
        <f t="shared" ref="E47:L48" si="16">($C$46*E10)/1000</f>
        <v>0</v>
      </c>
      <c r="F47" s="128">
        <f t="shared" si="16"/>
        <v>0</v>
      </c>
      <c r="G47" s="128">
        <f t="shared" si="16"/>
        <v>0</v>
      </c>
      <c r="H47" s="128">
        <f t="shared" si="16"/>
        <v>0</v>
      </c>
      <c r="I47" s="128">
        <f t="shared" si="16"/>
        <v>0</v>
      </c>
      <c r="J47" s="128">
        <f t="shared" si="16"/>
        <v>0</v>
      </c>
      <c r="K47" s="128">
        <f t="shared" si="16"/>
        <v>0</v>
      </c>
      <c r="L47" s="128">
        <f t="shared" si="16"/>
        <v>0</v>
      </c>
    </row>
    <row r="48" spans="1:20" ht="12.75" customHeight="1" x14ac:dyDescent="0.25">
      <c r="B48" s="169" t="s">
        <v>255</v>
      </c>
      <c r="C48" s="97" t="s">
        <v>179</v>
      </c>
      <c r="D48" s="128">
        <f>($C$46*D11)/1000</f>
        <v>0</v>
      </c>
      <c r="E48" s="128">
        <f t="shared" si="16"/>
        <v>0</v>
      </c>
      <c r="F48" s="128">
        <f t="shared" si="16"/>
        <v>0</v>
      </c>
      <c r="G48" s="128">
        <f t="shared" si="16"/>
        <v>0</v>
      </c>
      <c r="H48" s="128">
        <f t="shared" si="16"/>
        <v>0</v>
      </c>
      <c r="I48" s="128">
        <f t="shared" si="16"/>
        <v>0</v>
      </c>
      <c r="J48" s="128">
        <f t="shared" si="16"/>
        <v>0</v>
      </c>
      <c r="K48" s="128">
        <f t="shared" si="16"/>
        <v>0</v>
      </c>
      <c r="L48" s="128">
        <f t="shared" si="16"/>
        <v>0</v>
      </c>
    </row>
    <row r="49" spans="1:20" ht="12.75" customHeight="1" x14ac:dyDescent="0.25">
      <c r="A49" s="107"/>
      <c r="B49" s="160" t="s">
        <v>608</v>
      </c>
      <c r="C49" s="107"/>
      <c r="D49" s="107"/>
      <c r="E49" s="107"/>
      <c r="F49" s="107"/>
      <c r="G49" s="107"/>
      <c r="H49" s="107"/>
      <c r="I49" s="107"/>
      <c r="J49" s="107"/>
      <c r="K49" s="107"/>
      <c r="L49" s="107"/>
    </row>
    <row r="50" spans="1:20" ht="12.75" customHeight="1" x14ac:dyDescent="0.25">
      <c r="A50" s="119" t="s">
        <v>256</v>
      </c>
      <c r="B50" s="167" t="s">
        <v>257</v>
      </c>
      <c r="C50" s="119" t="s">
        <v>181</v>
      </c>
      <c r="D50" s="119">
        <f t="shared" ref="D50:L50" si="17">SUM(D51:D52)</f>
        <v>0</v>
      </c>
      <c r="E50" s="119">
        <f t="shared" si="17"/>
        <v>0</v>
      </c>
      <c r="F50" s="119">
        <f t="shared" si="17"/>
        <v>0</v>
      </c>
      <c r="G50" s="119">
        <f t="shared" si="17"/>
        <v>0</v>
      </c>
      <c r="H50" s="119">
        <f t="shared" si="17"/>
        <v>0</v>
      </c>
      <c r="I50" s="119">
        <f t="shared" si="17"/>
        <v>0</v>
      </c>
      <c r="J50" s="119">
        <f t="shared" si="17"/>
        <v>0</v>
      </c>
      <c r="K50" s="119">
        <f t="shared" si="17"/>
        <v>0</v>
      </c>
      <c r="L50" s="119">
        <f t="shared" si="17"/>
        <v>0</v>
      </c>
      <c r="M50" s="119"/>
      <c r="N50" s="119"/>
      <c r="O50" s="119"/>
      <c r="P50" s="119"/>
      <c r="Q50" s="119"/>
      <c r="R50" s="119"/>
      <c r="S50" s="119"/>
      <c r="T50" s="119"/>
    </row>
    <row r="51" spans="1:20" ht="12.75" customHeight="1" x14ac:dyDescent="0.25">
      <c r="A51" s="97">
        <f>'Bioetanooli abitabelid'!D36</f>
        <v>677.2</v>
      </c>
      <c r="B51" s="169" t="s">
        <v>258</v>
      </c>
      <c r="C51" s="97" t="s">
        <v>181</v>
      </c>
      <c r="D51" s="97">
        <f>$A$51*D4</f>
        <v>0</v>
      </c>
      <c r="E51" s="97">
        <f>$A$51*E4</f>
        <v>0</v>
      </c>
      <c r="F51" s="112">
        <f t="shared" ref="F51:L51" si="18">($A$51*F4)/1000000</f>
        <v>0</v>
      </c>
      <c r="G51" s="112">
        <f t="shared" si="18"/>
        <v>0</v>
      </c>
      <c r="H51" s="112">
        <f t="shared" si="18"/>
        <v>0</v>
      </c>
      <c r="I51" s="112">
        <f t="shared" si="18"/>
        <v>0</v>
      </c>
      <c r="J51" s="112">
        <f t="shared" si="18"/>
        <v>0</v>
      </c>
      <c r="K51" s="112">
        <f t="shared" si="18"/>
        <v>0</v>
      </c>
      <c r="L51" s="112">
        <f t="shared" si="18"/>
        <v>0</v>
      </c>
    </row>
    <row r="52" spans="1:20" ht="12.75" customHeight="1" x14ac:dyDescent="0.25">
      <c r="A52" s="97">
        <f>'Bioetanooli abitabelid'!D37</f>
        <v>1.1000000000000001</v>
      </c>
      <c r="B52" s="169" t="s">
        <v>259</v>
      </c>
      <c r="C52" s="97" t="s">
        <v>181</v>
      </c>
      <c r="D52" s="97">
        <f>$A$52*D4</f>
        <v>0</v>
      </c>
      <c r="E52" s="97">
        <f>$A$52*E4</f>
        <v>0</v>
      </c>
      <c r="F52" s="115">
        <f t="shared" ref="F52:L52" si="19">($A$52*F4)/1000000</f>
        <v>0</v>
      </c>
      <c r="G52" s="97">
        <f t="shared" si="19"/>
        <v>0</v>
      </c>
      <c r="H52" s="97">
        <f t="shared" si="19"/>
        <v>0</v>
      </c>
      <c r="I52" s="97">
        <f t="shared" si="19"/>
        <v>0</v>
      </c>
      <c r="J52" s="97">
        <f t="shared" si="19"/>
        <v>0</v>
      </c>
      <c r="K52" s="97">
        <f t="shared" si="19"/>
        <v>0</v>
      </c>
      <c r="L52" s="97">
        <f t="shared" si="19"/>
        <v>0</v>
      </c>
    </row>
    <row r="53" spans="1:20" ht="12.75" customHeight="1" x14ac:dyDescent="0.25">
      <c r="B53" s="169" t="s">
        <v>260</v>
      </c>
      <c r="C53" s="97" t="s">
        <v>181</v>
      </c>
      <c r="D53" s="112">
        <f>(D29*D11)*1000</f>
        <v>0</v>
      </c>
      <c r="E53" s="112">
        <f>(E29*E11)*1000</f>
        <v>0</v>
      </c>
      <c r="F53" s="112">
        <f>((F29*F11)*1000)/1000000</f>
        <v>0</v>
      </c>
      <c r="G53" s="112">
        <f t="shared" ref="G53:L53" si="20">(G29*G11)/1000</f>
        <v>0</v>
      </c>
      <c r="H53" s="112">
        <f t="shared" si="20"/>
        <v>0</v>
      </c>
      <c r="I53" s="112">
        <f t="shared" si="20"/>
        <v>0</v>
      </c>
      <c r="J53" s="112">
        <f t="shared" si="20"/>
        <v>0</v>
      </c>
      <c r="K53" s="112">
        <f t="shared" si="20"/>
        <v>0</v>
      </c>
      <c r="L53" s="112">
        <f t="shared" si="20"/>
        <v>0</v>
      </c>
    </row>
    <row r="54" spans="1:20" ht="12.75" customHeight="1" x14ac:dyDescent="0.25">
      <c r="A54" s="97" t="s">
        <v>261</v>
      </c>
      <c r="B54" s="130" t="s">
        <v>189</v>
      </c>
      <c r="C54" s="97" t="s">
        <v>7</v>
      </c>
      <c r="D54" s="143"/>
      <c r="E54" s="143"/>
      <c r="F54" s="143"/>
      <c r="G54" s="143"/>
      <c r="H54" s="143"/>
      <c r="I54" s="143"/>
      <c r="J54" s="143"/>
      <c r="K54" s="143"/>
      <c r="L54" s="143"/>
    </row>
    <row r="55" spans="1:20" ht="12.75" customHeight="1" x14ac:dyDescent="0.25">
      <c r="A55" s="112">
        <f>'Bioetanooli abitabelid'!E37</f>
        <v>830</v>
      </c>
      <c r="B55" s="169" t="s">
        <v>262</v>
      </c>
      <c r="C55" s="143" t="s">
        <v>181</v>
      </c>
      <c r="D55" s="144">
        <f>$A$55*D5</f>
        <v>0</v>
      </c>
      <c r="E55" s="144">
        <f>$A$55*E5</f>
        <v>0</v>
      </c>
      <c r="F55" s="144">
        <f>($A$55*F5)/1000000</f>
        <v>0</v>
      </c>
      <c r="G55" s="144">
        <f>($A$55*G5)/1000000</f>
        <v>0</v>
      </c>
      <c r="H55" s="144">
        <f>($A$55*H5)/1000000</f>
        <v>0</v>
      </c>
      <c r="I55" s="144">
        <f>$A$55*I5</f>
        <v>0</v>
      </c>
      <c r="J55" s="144">
        <f>$A$55*J5</f>
        <v>0</v>
      </c>
      <c r="K55" s="144">
        <f>$A$55*K5</f>
        <v>0</v>
      </c>
      <c r="L55" s="144">
        <f>$A$55*L5</f>
        <v>0</v>
      </c>
      <c r="M55" s="143"/>
    </row>
    <row r="56" spans="1:20" ht="12.75" customHeight="1" x14ac:dyDescent="0.25">
      <c r="A56" s="112">
        <v>50</v>
      </c>
      <c r="B56" s="169" t="s">
        <v>193</v>
      </c>
      <c r="C56" s="97" t="s">
        <v>181</v>
      </c>
      <c r="D56" s="112">
        <f>$A$56*D5</f>
        <v>0</v>
      </c>
      <c r="E56" s="112">
        <f>$A$56*E5</f>
        <v>0</v>
      </c>
      <c r="F56" s="112">
        <f>($A$56*F5)/1000000</f>
        <v>0</v>
      </c>
      <c r="G56" s="112">
        <f>($A$56*G5)/1000000</f>
        <v>0</v>
      </c>
      <c r="H56" s="112">
        <f>($A$56*H5)/1000000</f>
        <v>0</v>
      </c>
      <c r="I56" s="112">
        <f>$A$56*I5</f>
        <v>0</v>
      </c>
      <c r="J56" s="112">
        <f>$A$56*J5</f>
        <v>0</v>
      </c>
      <c r="K56" s="112">
        <f>$A$56*K5</f>
        <v>0</v>
      </c>
      <c r="L56" s="112">
        <f>$A$56*L5</f>
        <v>0</v>
      </c>
    </row>
    <row r="57" spans="1:20" ht="12.75" customHeight="1" x14ac:dyDescent="0.25">
      <c r="B57" s="130" t="s">
        <v>195</v>
      </c>
      <c r="D57" s="97" t="s">
        <v>7</v>
      </c>
    </row>
    <row r="58" spans="1:20" ht="12.75" customHeight="1" x14ac:dyDescent="0.25">
      <c r="A58" s="115">
        <f>'Bioetanooli abitabelid'!B59</f>
        <v>1.4463909652634745</v>
      </c>
      <c r="B58" s="97" t="s">
        <v>263</v>
      </c>
      <c r="C58" s="97" t="s">
        <v>196</v>
      </c>
      <c r="D58" s="107">
        <f t="shared" ref="D58:L58" si="21">D4/$A$58</f>
        <v>0</v>
      </c>
      <c r="E58" s="107">
        <f t="shared" si="21"/>
        <v>0</v>
      </c>
      <c r="F58" s="107">
        <f t="shared" si="21"/>
        <v>0</v>
      </c>
      <c r="G58" s="107">
        <f t="shared" si="21"/>
        <v>0</v>
      </c>
      <c r="H58" s="107">
        <f t="shared" si="21"/>
        <v>0</v>
      </c>
      <c r="I58" s="107">
        <f t="shared" si="21"/>
        <v>0</v>
      </c>
      <c r="J58" s="107">
        <f t="shared" si="21"/>
        <v>0</v>
      </c>
      <c r="K58" s="107">
        <f t="shared" si="21"/>
        <v>0</v>
      </c>
      <c r="L58" s="107">
        <f t="shared" si="21"/>
        <v>0</v>
      </c>
      <c r="M58" s="107"/>
      <c r="N58" s="115"/>
      <c r="O58" s="112"/>
    </row>
    <row r="59" spans="1:20" ht="12.75" customHeight="1" x14ac:dyDescent="0.25">
      <c r="A59" s="97" t="s">
        <v>264</v>
      </c>
      <c r="B59" s="97" t="s">
        <v>265</v>
      </c>
      <c r="C59" s="97" t="s">
        <v>214</v>
      </c>
      <c r="D59" s="112">
        <f t="shared" ref="D59:L59" si="22">$A$60*D4</f>
        <v>0</v>
      </c>
      <c r="E59" s="112">
        <f t="shared" si="22"/>
        <v>0</v>
      </c>
      <c r="F59" s="112">
        <f t="shared" si="22"/>
        <v>0</v>
      </c>
      <c r="G59" s="112">
        <f t="shared" si="22"/>
        <v>0</v>
      </c>
      <c r="H59" s="112">
        <f t="shared" si="22"/>
        <v>0</v>
      </c>
      <c r="I59" s="112">
        <f t="shared" si="22"/>
        <v>0</v>
      </c>
      <c r="J59" s="112">
        <f t="shared" si="22"/>
        <v>0</v>
      </c>
      <c r="K59" s="112">
        <f t="shared" si="22"/>
        <v>0</v>
      </c>
      <c r="L59" s="112">
        <f t="shared" si="22"/>
        <v>0</v>
      </c>
    </row>
    <row r="60" spans="1:20" ht="12.75" customHeight="1" x14ac:dyDescent="0.25">
      <c r="A60" s="115">
        <v>1.34</v>
      </c>
      <c r="B60" s="97" t="s">
        <v>266</v>
      </c>
      <c r="C60" s="97" t="s">
        <v>166</v>
      </c>
      <c r="D60" s="115">
        <f t="shared" ref="D60:L60" si="23">($A$61*D3)/1000000</f>
        <v>0</v>
      </c>
      <c r="E60" s="115">
        <f t="shared" si="23"/>
        <v>0</v>
      </c>
      <c r="F60" s="115">
        <f t="shared" si="23"/>
        <v>0</v>
      </c>
      <c r="G60" s="115">
        <f t="shared" si="23"/>
        <v>0</v>
      </c>
      <c r="H60" s="115">
        <f t="shared" si="23"/>
        <v>0</v>
      </c>
      <c r="I60" s="115">
        <f t="shared" si="23"/>
        <v>0</v>
      </c>
      <c r="J60" s="115">
        <f t="shared" si="23"/>
        <v>0</v>
      </c>
      <c r="K60" s="115">
        <f t="shared" si="23"/>
        <v>0</v>
      </c>
      <c r="L60" s="115">
        <f t="shared" si="23"/>
        <v>0</v>
      </c>
      <c r="M60" s="115"/>
    </row>
    <row r="61" spans="1:20" ht="12.75" hidden="1" customHeight="1" x14ac:dyDescent="0.25">
      <c r="A61" s="115">
        <f>'Bioetanooli abitabelid'!B63</f>
        <v>0.15</v>
      </c>
      <c r="B61" s="97" t="s">
        <v>267</v>
      </c>
      <c r="C61" s="97" t="s">
        <v>268</v>
      </c>
      <c r="M61" s="115"/>
    </row>
    <row r="62" spans="1:20" ht="12.75" hidden="1" customHeight="1" x14ac:dyDescent="0.25">
      <c r="A62" s="97">
        <f>abitabelid!B177</f>
        <v>83.8</v>
      </c>
      <c r="B62" s="97" t="s">
        <v>212</v>
      </c>
      <c r="C62" s="97" t="s">
        <v>65</v>
      </c>
      <c r="D62" s="97">
        <f>'kütuste tarbimine EE'!C6+'kütuste tarbimine EE'!C7</f>
        <v>29658</v>
      </c>
      <c r="E62" s="97">
        <f>'kütuste tarbimine EE'!D6+'kütuste tarbimine EE'!D7</f>
        <v>30505.144790424099</v>
      </c>
      <c r="F62" s="97">
        <f>'kütuste tarbimine EE'!E6+'kütuste tarbimine EE'!E7</f>
        <v>26790.915284128507</v>
      </c>
      <c r="G62" s="97">
        <f>'kütuste tarbimine EE'!F6+'kütuste tarbimine EE'!F7</f>
        <v>22257.868043989209</v>
      </c>
      <c r="H62" s="97">
        <f>'kütuste tarbimine EE'!G6+'kütuste tarbimine EE'!G7</f>
        <v>17724.820803849914</v>
      </c>
      <c r="I62" s="97">
        <f>'kütuste tarbimine EE'!H6+'kütuste tarbimine EE'!H7</f>
        <v>14811.297539860303</v>
      </c>
      <c r="J62" s="97">
        <f>'kütuste tarbimine EE'!I6+'kütuste tarbimine EE'!I7</f>
        <v>11897.774275870692</v>
      </c>
      <c r="K62" s="97">
        <f>'kütuste tarbimine EE'!J6+'kütuste tarbimine EE'!J7</f>
        <v>10441.012643875889</v>
      </c>
      <c r="L62" s="97">
        <f>'kütuste tarbimine EE'!K6+'kütuste tarbimine EE'!K7</f>
        <v>6070.727747891473</v>
      </c>
    </row>
    <row r="63" spans="1:20" ht="12.75" hidden="1" customHeight="1" x14ac:dyDescent="0.25">
      <c r="A63" s="97" t="s">
        <v>7</v>
      </c>
      <c r="B63" s="97" t="s">
        <v>213</v>
      </c>
      <c r="C63" s="97" t="s">
        <v>214</v>
      </c>
      <c r="D63" s="112">
        <f t="shared" ref="D63:L63" si="24">D62*$A$62</f>
        <v>2485340.4</v>
      </c>
      <c r="E63" s="112">
        <f t="shared" si="24"/>
        <v>2556331.1334375395</v>
      </c>
      <c r="F63" s="112">
        <f t="shared" si="24"/>
        <v>2245078.7008099686</v>
      </c>
      <c r="G63" s="112">
        <f t="shared" si="24"/>
        <v>1865209.3420862956</v>
      </c>
      <c r="H63" s="112">
        <f t="shared" si="24"/>
        <v>1485339.9833626228</v>
      </c>
      <c r="I63" s="112">
        <f t="shared" si="24"/>
        <v>1241186.7338402933</v>
      </c>
      <c r="J63" s="112">
        <f t="shared" si="24"/>
        <v>997033.48431796394</v>
      </c>
      <c r="K63" s="112">
        <f t="shared" si="24"/>
        <v>874956.85955679941</v>
      </c>
      <c r="L63" s="112">
        <f t="shared" si="24"/>
        <v>508726.98527330544</v>
      </c>
    </row>
    <row r="64" spans="1:20" ht="12.75" hidden="1" customHeight="1" x14ac:dyDescent="0.25">
      <c r="A64" s="139">
        <f>'Bioetanooli abitabelid'!B82</f>
        <v>70</v>
      </c>
      <c r="B64" s="140" t="s">
        <v>269</v>
      </c>
      <c r="C64" s="140" t="s">
        <v>214</v>
      </c>
      <c r="D64" s="141">
        <f t="shared" ref="D64:L64" si="25">$A$64*D11</f>
        <v>0</v>
      </c>
      <c r="E64" s="141">
        <f t="shared" si="25"/>
        <v>0</v>
      </c>
      <c r="F64" s="141">
        <f t="shared" si="25"/>
        <v>0</v>
      </c>
      <c r="G64" s="141">
        <f t="shared" si="25"/>
        <v>0</v>
      </c>
      <c r="H64" s="141">
        <f t="shared" si="25"/>
        <v>0</v>
      </c>
      <c r="I64" s="141">
        <f t="shared" si="25"/>
        <v>0</v>
      </c>
      <c r="J64" s="141">
        <f t="shared" si="25"/>
        <v>0</v>
      </c>
      <c r="K64" s="141">
        <f t="shared" si="25"/>
        <v>0</v>
      </c>
      <c r="L64" s="141">
        <f t="shared" si="25"/>
        <v>0</v>
      </c>
    </row>
    <row r="65" spans="1:14" ht="12.75" customHeight="1" x14ac:dyDescent="0.25">
      <c r="A65" s="97" t="s">
        <v>7</v>
      </c>
      <c r="D65" s="97" t="s">
        <v>7</v>
      </c>
      <c r="E65" s="97">
        <f>((E4*10)*3.6)*A64</f>
        <v>0</v>
      </c>
    </row>
    <row r="68" spans="1:14" ht="12.75" customHeight="1" x14ac:dyDescent="0.3">
      <c r="B68" s="181"/>
      <c r="C68" s="90" t="s">
        <v>143</v>
      </c>
      <c r="D68" s="90"/>
      <c r="E68" s="90">
        <v>2015</v>
      </c>
      <c r="F68" s="90">
        <v>2020</v>
      </c>
      <c r="G68" s="90">
        <v>2025</v>
      </c>
      <c r="H68" s="90">
        <v>2030</v>
      </c>
      <c r="I68" s="90">
        <v>2035</v>
      </c>
      <c r="J68" s="90">
        <v>2040</v>
      </c>
      <c r="K68" s="90">
        <v>2045</v>
      </c>
      <c r="L68" s="90">
        <v>2050</v>
      </c>
      <c r="M68" s="192"/>
      <c r="N68" s="192"/>
    </row>
    <row r="69" spans="1:14" ht="12.75" customHeight="1" x14ac:dyDescent="0.3">
      <c r="B69" s="182" t="s">
        <v>609</v>
      </c>
      <c r="C69" s="92" t="s">
        <v>65</v>
      </c>
      <c r="D69" s="207"/>
      <c r="E69" s="207">
        <f>E48*1000</f>
        <v>0</v>
      </c>
      <c r="F69" s="207">
        <f t="shared" ref="F69:L69" si="26">F48*1000</f>
        <v>0</v>
      </c>
      <c r="G69" s="207">
        <f t="shared" si="26"/>
        <v>0</v>
      </c>
      <c r="H69" s="207">
        <f t="shared" si="26"/>
        <v>0</v>
      </c>
      <c r="I69" s="207">
        <f t="shared" si="26"/>
        <v>0</v>
      </c>
      <c r="J69" s="207">
        <f t="shared" si="26"/>
        <v>0</v>
      </c>
      <c r="K69" s="207">
        <f t="shared" si="26"/>
        <v>0</v>
      </c>
      <c r="L69" s="207">
        <f t="shared" si="26"/>
        <v>0</v>
      </c>
      <c r="M69" s="193"/>
      <c r="N69" s="193"/>
    </row>
    <row r="70" spans="1:14" ht="12.75" customHeight="1" x14ac:dyDescent="0.3">
      <c r="B70" s="183" t="s">
        <v>610</v>
      </c>
      <c r="C70" s="92" t="s">
        <v>181</v>
      </c>
      <c r="D70" s="92"/>
      <c r="E70" s="92">
        <f>SUM(E71:E76)</f>
        <v>0</v>
      </c>
      <c r="F70" s="92">
        <f>SUM(F71:F76)</f>
        <v>0</v>
      </c>
      <c r="G70" s="92">
        <f t="shared" ref="G70:L70" si="27">SUM(G71:G76)</f>
        <v>0</v>
      </c>
      <c r="H70" s="92">
        <f t="shared" si="27"/>
        <v>0</v>
      </c>
      <c r="I70" s="92">
        <f t="shared" si="27"/>
        <v>0</v>
      </c>
      <c r="J70" s="92">
        <f t="shared" si="27"/>
        <v>0</v>
      </c>
      <c r="K70" s="92">
        <f t="shared" si="27"/>
        <v>0</v>
      </c>
      <c r="L70" s="92">
        <f t="shared" si="27"/>
        <v>0</v>
      </c>
      <c r="M70" s="194"/>
      <c r="N70" s="194"/>
    </row>
    <row r="71" spans="1:14" ht="12.75" customHeight="1" x14ac:dyDescent="0.3">
      <c r="B71" s="184" t="s">
        <v>740</v>
      </c>
      <c r="C71" s="92" t="s">
        <v>181</v>
      </c>
      <c r="D71" s="92"/>
      <c r="E71" s="166">
        <f>E$50*$C104</f>
        <v>0</v>
      </c>
      <c r="F71" s="92">
        <f>F$50*$C104</f>
        <v>0</v>
      </c>
      <c r="G71" s="92">
        <f t="shared" ref="G71:L71" si="28">G$50*$C104</f>
        <v>0</v>
      </c>
      <c r="H71" s="92">
        <f t="shared" si="28"/>
        <v>0</v>
      </c>
      <c r="I71" s="92">
        <f t="shared" si="28"/>
        <v>0</v>
      </c>
      <c r="J71" s="92">
        <f t="shared" si="28"/>
        <v>0</v>
      </c>
      <c r="K71" s="92">
        <f t="shared" si="28"/>
        <v>0</v>
      </c>
      <c r="L71" s="92">
        <f t="shared" si="28"/>
        <v>0</v>
      </c>
      <c r="M71" s="224"/>
      <c r="N71" s="194"/>
    </row>
    <row r="72" spans="1:14" ht="12.75" customHeight="1" x14ac:dyDescent="0.3">
      <c r="B72" s="184" t="s">
        <v>590</v>
      </c>
      <c r="C72" s="92" t="s">
        <v>181</v>
      </c>
      <c r="D72" s="92"/>
      <c r="E72" s="166">
        <f t="shared" ref="E72:L72" si="29">E$50*$C106</f>
        <v>0</v>
      </c>
      <c r="F72" s="92">
        <f t="shared" si="29"/>
        <v>0</v>
      </c>
      <c r="G72" s="92">
        <f t="shared" si="29"/>
        <v>0</v>
      </c>
      <c r="H72" s="92">
        <f t="shared" si="29"/>
        <v>0</v>
      </c>
      <c r="I72" s="92">
        <f t="shared" si="29"/>
        <v>0</v>
      </c>
      <c r="J72" s="92">
        <f t="shared" si="29"/>
        <v>0</v>
      </c>
      <c r="K72" s="92">
        <f t="shared" si="29"/>
        <v>0</v>
      </c>
      <c r="L72" s="92">
        <f t="shared" si="29"/>
        <v>0</v>
      </c>
      <c r="M72" s="194"/>
      <c r="N72" s="194"/>
    </row>
    <row r="73" spans="1:14" ht="12.75" customHeight="1" x14ac:dyDescent="0.3">
      <c r="B73" s="184" t="s">
        <v>741</v>
      </c>
      <c r="C73" s="92" t="s">
        <v>181</v>
      </c>
      <c r="D73" s="92"/>
      <c r="E73" s="166">
        <f>E$50*$C105</f>
        <v>0</v>
      </c>
      <c r="F73" s="92">
        <f>F$50*$C105</f>
        <v>0</v>
      </c>
      <c r="G73" s="92">
        <f t="shared" ref="G73:L73" si="30">G$50*$C105</f>
        <v>0</v>
      </c>
      <c r="H73" s="92">
        <f t="shared" si="30"/>
        <v>0</v>
      </c>
      <c r="I73" s="92">
        <f t="shared" si="30"/>
        <v>0</v>
      </c>
      <c r="J73" s="92">
        <f t="shared" si="30"/>
        <v>0</v>
      </c>
      <c r="K73" s="92">
        <f t="shared" si="30"/>
        <v>0</v>
      </c>
      <c r="L73" s="92">
        <f t="shared" si="30"/>
        <v>0</v>
      </c>
      <c r="M73" s="194"/>
      <c r="N73" s="194"/>
    </row>
    <row r="74" spans="1:14" ht="12.75" customHeight="1" x14ac:dyDescent="0.3">
      <c r="B74" s="184" t="s">
        <v>742</v>
      </c>
      <c r="C74" s="92"/>
      <c r="D74" s="92"/>
      <c r="E74" s="166">
        <f>SUM($E$79:E79)*$M$74</f>
        <v>0</v>
      </c>
      <c r="F74" s="92">
        <f>SUM($E$79:F79)*$M$74</f>
        <v>0</v>
      </c>
      <c r="G74" s="92">
        <f>SUM($E$79:G79)*$M$74</f>
        <v>0</v>
      </c>
      <c r="H74" s="92">
        <f>SUM($E$79:H79)*$M$74</f>
        <v>0</v>
      </c>
      <c r="I74" s="92">
        <f>SUM($E$79:I79)*$M$74</f>
        <v>0</v>
      </c>
      <c r="J74" s="92">
        <f>SUM($E$79:J79)*$M$74</f>
        <v>0</v>
      </c>
      <c r="K74" s="92">
        <f>SUM($E$79:K79)*$M$74</f>
        <v>0</v>
      </c>
      <c r="L74" s="92">
        <f>SUM($E$79:L79)*$M$74</f>
        <v>0</v>
      </c>
      <c r="M74" s="284">
        <v>0.05</v>
      </c>
      <c r="N74" s="194"/>
    </row>
    <row r="75" spans="1:14" ht="12.75" customHeight="1" x14ac:dyDescent="0.3">
      <c r="B75" s="184" t="s">
        <v>628</v>
      </c>
      <c r="C75" s="92"/>
      <c r="D75" s="92"/>
      <c r="E75" s="166">
        <f>E$50*$D$101</f>
        <v>0</v>
      </c>
      <c r="F75" s="92">
        <f>F$50*$D$101</f>
        <v>0</v>
      </c>
      <c r="G75" s="92">
        <f t="shared" ref="G75:L75" si="31">G$50*$D$101</f>
        <v>0</v>
      </c>
      <c r="H75" s="92">
        <f t="shared" si="31"/>
        <v>0</v>
      </c>
      <c r="I75" s="92">
        <f t="shared" si="31"/>
        <v>0</v>
      </c>
      <c r="J75" s="92">
        <f t="shared" si="31"/>
        <v>0</v>
      </c>
      <c r="K75" s="92">
        <f t="shared" si="31"/>
        <v>0</v>
      </c>
      <c r="L75" s="92">
        <f t="shared" si="31"/>
        <v>0</v>
      </c>
      <c r="M75" s="194"/>
      <c r="N75" s="194"/>
    </row>
    <row r="76" spans="1:14" ht="12.75" customHeight="1" x14ac:dyDescent="0.3">
      <c r="B76" s="184" t="s">
        <v>631</v>
      </c>
      <c r="C76" s="92" t="s">
        <v>181</v>
      </c>
      <c r="D76" s="92"/>
      <c r="E76" s="166">
        <f>(E77+E78+E85)-SUM(E71:E75)</f>
        <v>0</v>
      </c>
      <c r="F76" s="245">
        <f t="shared" ref="F76:L76" si="32">(F77+F78+F85)-SUM(F71:F75)</f>
        <v>0</v>
      </c>
      <c r="G76" s="245">
        <f t="shared" si="32"/>
        <v>0</v>
      </c>
      <c r="H76" s="245">
        <f t="shared" si="32"/>
        <v>0</v>
      </c>
      <c r="I76" s="245">
        <f t="shared" si="32"/>
        <v>0</v>
      </c>
      <c r="J76" s="245">
        <f t="shared" si="32"/>
        <v>0</v>
      </c>
      <c r="K76" s="245">
        <f t="shared" si="32"/>
        <v>0</v>
      </c>
      <c r="L76" s="245">
        <f t="shared" si="32"/>
        <v>0</v>
      </c>
      <c r="M76" s="194"/>
      <c r="N76" s="194"/>
    </row>
    <row r="77" spans="1:14" ht="12.75" customHeight="1" x14ac:dyDescent="0.3">
      <c r="B77" s="182" t="s">
        <v>597</v>
      </c>
      <c r="C77" s="92" t="s">
        <v>181</v>
      </c>
      <c r="D77" s="92"/>
      <c r="E77" s="92">
        <f>E60</f>
        <v>0</v>
      </c>
      <c r="F77" s="92">
        <f t="shared" ref="F77:L77" si="33">F60</f>
        <v>0</v>
      </c>
      <c r="G77" s="92">
        <f t="shared" si="33"/>
        <v>0</v>
      </c>
      <c r="H77" s="92">
        <f t="shared" si="33"/>
        <v>0</v>
      </c>
      <c r="I77" s="92">
        <f t="shared" si="33"/>
        <v>0</v>
      </c>
      <c r="J77" s="92">
        <f t="shared" si="33"/>
        <v>0</v>
      </c>
      <c r="K77" s="92">
        <f t="shared" si="33"/>
        <v>0</v>
      </c>
      <c r="L77" s="92">
        <f t="shared" si="33"/>
        <v>0</v>
      </c>
      <c r="M77" s="194" t="s">
        <v>632</v>
      </c>
      <c r="N77" s="194"/>
    </row>
    <row r="78" spans="1:14" ht="12.75" customHeight="1" x14ac:dyDescent="0.3">
      <c r="B78" s="183" t="s">
        <v>611</v>
      </c>
      <c r="C78" s="92" t="s">
        <v>181</v>
      </c>
      <c r="D78" s="92"/>
      <c r="E78" s="958">
        <f>E40</f>
        <v>0</v>
      </c>
      <c r="F78" s="958">
        <f t="shared" ref="F78:L78" si="34">F40</f>
        <v>0</v>
      </c>
      <c r="G78" s="958">
        <f t="shared" si="34"/>
        <v>0</v>
      </c>
      <c r="H78" s="958">
        <f t="shared" si="34"/>
        <v>0</v>
      </c>
      <c r="I78" s="958">
        <f t="shared" si="34"/>
        <v>0</v>
      </c>
      <c r="J78" s="958">
        <f t="shared" si="34"/>
        <v>0</v>
      </c>
      <c r="K78" s="958">
        <f t="shared" si="34"/>
        <v>0</v>
      </c>
      <c r="L78" s="958">
        <f t="shared" si="34"/>
        <v>0</v>
      </c>
      <c r="M78" s="194"/>
      <c r="N78" s="194"/>
    </row>
    <row r="79" spans="1:14" ht="12.75" customHeight="1" x14ac:dyDescent="0.3">
      <c r="B79" s="183" t="s">
        <v>189</v>
      </c>
      <c r="C79" s="92" t="s">
        <v>181</v>
      </c>
      <c r="D79" s="92"/>
      <c r="E79" s="92">
        <f>SUM(E80:E83)</f>
        <v>0</v>
      </c>
      <c r="F79" s="92">
        <f t="shared" ref="F79:L79" si="35">SUM(F80:F83)</f>
        <v>0</v>
      </c>
      <c r="G79" s="92">
        <f t="shared" si="35"/>
        <v>0</v>
      </c>
      <c r="H79" s="92">
        <f t="shared" si="35"/>
        <v>0</v>
      </c>
      <c r="I79" s="92">
        <f t="shared" si="35"/>
        <v>0</v>
      </c>
      <c r="J79" s="92">
        <f t="shared" si="35"/>
        <v>0</v>
      </c>
      <c r="K79" s="92">
        <f t="shared" si="35"/>
        <v>0</v>
      </c>
      <c r="L79" s="92">
        <f t="shared" si="35"/>
        <v>0</v>
      </c>
      <c r="M79" s="194"/>
      <c r="N79" s="194"/>
    </row>
    <row r="80" spans="1:14" ht="12.75" customHeight="1" x14ac:dyDescent="0.3">
      <c r="B80" s="184" t="s">
        <v>190</v>
      </c>
      <c r="C80" s="92" t="s">
        <v>181</v>
      </c>
      <c r="D80" s="92"/>
      <c r="E80" s="92">
        <f>E$55*$M80</f>
        <v>0</v>
      </c>
      <c r="F80" s="92">
        <f t="shared" ref="F80:L81" si="36">F$55*$M80</f>
        <v>0</v>
      </c>
      <c r="G80" s="92">
        <f t="shared" si="36"/>
        <v>0</v>
      </c>
      <c r="H80" s="92">
        <f t="shared" si="36"/>
        <v>0</v>
      </c>
      <c r="I80" s="92">
        <f t="shared" si="36"/>
        <v>0</v>
      </c>
      <c r="J80" s="92">
        <f t="shared" si="36"/>
        <v>0</v>
      </c>
      <c r="K80" s="92">
        <f t="shared" si="36"/>
        <v>0</v>
      </c>
      <c r="L80" s="92">
        <f t="shared" si="36"/>
        <v>0</v>
      </c>
      <c r="M80" s="223">
        <v>0.23</v>
      </c>
      <c r="N80" s="224" t="s">
        <v>637</v>
      </c>
    </row>
    <row r="81" spans="2:14" ht="12.75" customHeight="1" x14ac:dyDescent="0.3">
      <c r="B81" s="184" t="s">
        <v>192</v>
      </c>
      <c r="C81" s="92" t="s">
        <v>181</v>
      </c>
      <c r="D81" s="92"/>
      <c r="E81" s="92">
        <f>E$55*$M81</f>
        <v>0</v>
      </c>
      <c r="F81" s="92">
        <f t="shared" si="36"/>
        <v>0</v>
      </c>
      <c r="G81" s="92">
        <f t="shared" si="36"/>
        <v>0</v>
      </c>
      <c r="H81" s="92">
        <f t="shared" si="36"/>
        <v>0</v>
      </c>
      <c r="I81" s="92">
        <f t="shared" si="36"/>
        <v>0</v>
      </c>
      <c r="J81" s="92">
        <f t="shared" si="36"/>
        <v>0</v>
      </c>
      <c r="K81" s="92">
        <f t="shared" si="36"/>
        <v>0</v>
      </c>
      <c r="L81" s="92">
        <f t="shared" si="36"/>
        <v>0</v>
      </c>
      <c r="M81" s="223">
        <f>1-M80</f>
        <v>0.77</v>
      </c>
      <c r="N81" s="194"/>
    </row>
    <row r="82" spans="2:14" ht="12.75" customHeight="1" x14ac:dyDescent="0.3">
      <c r="B82" s="184" t="s">
        <v>193</v>
      </c>
      <c r="C82" s="92" t="s">
        <v>181</v>
      </c>
      <c r="D82" s="92"/>
      <c r="E82" s="92">
        <f>E56</f>
        <v>0</v>
      </c>
      <c r="F82" s="92">
        <f t="shared" ref="F82:L82" si="37">F56</f>
        <v>0</v>
      </c>
      <c r="G82" s="92">
        <f t="shared" si="37"/>
        <v>0</v>
      </c>
      <c r="H82" s="92">
        <f t="shared" si="37"/>
        <v>0</v>
      </c>
      <c r="I82" s="92">
        <f t="shared" si="37"/>
        <v>0</v>
      </c>
      <c r="J82" s="92">
        <f t="shared" si="37"/>
        <v>0</v>
      </c>
      <c r="K82" s="92">
        <f t="shared" si="37"/>
        <v>0</v>
      </c>
      <c r="L82" s="92">
        <f t="shared" si="37"/>
        <v>0</v>
      </c>
      <c r="M82" s="194"/>
      <c r="N82" s="194"/>
    </row>
    <row r="83" spans="2:14" ht="12.75" customHeight="1" x14ac:dyDescent="0.3">
      <c r="B83" s="184" t="s">
        <v>194</v>
      </c>
      <c r="C83" s="92" t="s">
        <v>181</v>
      </c>
      <c r="D83" s="92"/>
      <c r="E83" s="92"/>
      <c r="F83" s="92"/>
      <c r="G83" s="92"/>
      <c r="H83" s="92"/>
      <c r="I83" s="92"/>
      <c r="J83" s="92"/>
      <c r="K83" s="92"/>
      <c r="L83" s="92"/>
      <c r="M83" s="194"/>
      <c r="N83" s="194"/>
    </row>
    <row r="84" spans="2:14" ht="12.75" customHeight="1" x14ac:dyDescent="0.3">
      <c r="B84" s="183" t="s">
        <v>593</v>
      </c>
      <c r="C84" s="92" t="s">
        <v>181</v>
      </c>
      <c r="D84" s="92"/>
      <c r="E84" s="92">
        <f>E38</f>
        <v>0</v>
      </c>
      <c r="F84" s="92">
        <f t="shared" ref="F84:L84" si="38">F38</f>
        <v>-27.172978524994935</v>
      </c>
      <c r="G84" s="92">
        <f>G38</f>
        <v>-27.492635821255131</v>
      </c>
      <c r="H84" s="92">
        <f t="shared" si="38"/>
        <v>-27.815968965588034</v>
      </c>
      <c r="I84" s="92">
        <f t="shared" si="38"/>
        <v>-27.01790434625519</v>
      </c>
      <c r="J84" s="92">
        <f t="shared" si="38"/>
        <v>-26.201096837639131</v>
      </c>
      <c r="K84" s="92">
        <f t="shared" si="38"/>
        <v>-25.914179597215824</v>
      </c>
      <c r="L84" s="92">
        <f t="shared" si="38"/>
        <v>-24.510068920524901</v>
      </c>
      <c r="M84" s="194"/>
      <c r="N84" s="194"/>
    </row>
    <row r="85" spans="2:14" ht="12.75" customHeight="1" x14ac:dyDescent="0.3">
      <c r="B85" s="183" t="s">
        <v>594</v>
      </c>
      <c r="C85" s="92" t="s">
        <v>181</v>
      </c>
      <c r="D85" s="92"/>
      <c r="E85" s="92"/>
      <c r="F85" s="92"/>
      <c r="G85" s="92"/>
      <c r="H85" s="92"/>
      <c r="I85" s="92"/>
      <c r="J85" s="92"/>
      <c r="K85" s="92"/>
      <c r="L85" s="92"/>
      <c r="M85" s="194"/>
      <c r="N85" s="194"/>
    </row>
    <row r="86" spans="2:14" ht="12.75" customHeight="1" x14ac:dyDescent="0.3">
      <c r="B86" s="183" t="s">
        <v>195</v>
      </c>
      <c r="C86" s="92"/>
      <c r="D86" s="92"/>
      <c r="E86" s="92"/>
      <c r="F86" s="92"/>
      <c r="G86" s="92"/>
      <c r="H86" s="92"/>
      <c r="I86" s="92"/>
      <c r="J86" s="92"/>
      <c r="K86" s="92"/>
      <c r="L86" s="92"/>
      <c r="M86" s="194"/>
      <c r="N86" s="194"/>
    </row>
    <row r="87" spans="2:14" ht="12.75" customHeight="1" x14ac:dyDescent="0.3">
      <c r="B87" s="184" t="s">
        <v>595</v>
      </c>
      <c r="C87" s="92" t="s">
        <v>196</v>
      </c>
      <c r="D87" s="207"/>
      <c r="E87" s="207">
        <v>0</v>
      </c>
      <c r="F87" s="207">
        <v>0</v>
      </c>
      <c r="G87" s="207">
        <v>0</v>
      </c>
      <c r="H87" s="207">
        <v>0</v>
      </c>
      <c r="I87" s="207">
        <v>0</v>
      </c>
      <c r="J87" s="207">
        <v>0</v>
      </c>
      <c r="K87" s="207">
        <v>0</v>
      </c>
      <c r="L87" s="207">
        <v>0</v>
      </c>
      <c r="M87" s="193"/>
      <c r="N87" s="193"/>
    </row>
    <row r="88" spans="2:14" ht="12.75" customHeight="1" x14ac:dyDescent="0.3">
      <c r="B88" s="184" t="s">
        <v>596</v>
      </c>
      <c r="C88" s="92" t="s">
        <v>65</v>
      </c>
      <c r="D88" s="92"/>
      <c r="E88" s="92">
        <f>Bioet_max!E11</f>
        <v>0</v>
      </c>
      <c r="F88" s="92">
        <f>Bioet_max!F11</f>
        <v>2700</v>
      </c>
      <c r="G88" s="92">
        <f>Bioet_max!G11</f>
        <v>2700</v>
      </c>
      <c r="H88" s="92">
        <f>Bioet_max!H11</f>
        <v>5940</v>
      </c>
      <c r="I88" s="92">
        <f>Bioet_max!I11</f>
        <v>5940</v>
      </c>
      <c r="J88" s="92">
        <f>Bioet_max!J11</f>
        <v>5940</v>
      </c>
      <c r="K88" s="92">
        <f>Bioet_max!K11</f>
        <v>5940</v>
      </c>
      <c r="L88" s="92">
        <f>Bioet_max!L11</f>
        <v>5940</v>
      </c>
      <c r="M88" s="194"/>
      <c r="N88" s="194"/>
    </row>
    <row r="89" spans="2:14" ht="12.75" customHeight="1" x14ac:dyDescent="0.3">
      <c r="B89" s="183" t="s">
        <v>598</v>
      </c>
      <c r="C89" s="92" t="s">
        <v>235</v>
      </c>
      <c r="D89" s="92"/>
      <c r="E89" s="92"/>
      <c r="F89" s="92"/>
      <c r="G89" s="92"/>
      <c r="H89" s="92"/>
      <c r="I89" s="92"/>
      <c r="J89" s="92"/>
      <c r="K89" s="92"/>
      <c r="L89" s="92"/>
      <c r="M89" s="194"/>
      <c r="N89" s="194"/>
    </row>
    <row r="93" spans="2:14" ht="12.75" customHeight="1" x14ac:dyDescent="0.25">
      <c r="B93" s="964" t="s">
        <v>527</v>
      </c>
      <c r="C93" s="964" t="s">
        <v>528</v>
      </c>
      <c r="D93" s="964"/>
    </row>
    <row r="94" spans="2:14" ht="12.75" customHeight="1" x14ac:dyDescent="0.25">
      <c r="B94" s="964"/>
      <c r="C94" s="273" t="s">
        <v>531</v>
      </c>
      <c r="D94" s="273" t="s">
        <v>627</v>
      </c>
    </row>
    <row r="95" spans="2:14" ht="12.75" customHeight="1" x14ac:dyDescent="0.25">
      <c r="B95" s="212" t="s">
        <v>533</v>
      </c>
      <c r="C95" s="213">
        <v>0.4</v>
      </c>
      <c r="D95" s="214">
        <f>C95/$C$102</f>
        <v>0.54054054054054046</v>
      </c>
    </row>
    <row r="96" spans="2:14" ht="12.75" customHeight="1" x14ac:dyDescent="0.25">
      <c r="B96" s="220" t="s">
        <v>630</v>
      </c>
      <c r="C96" s="221">
        <v>0.15</v>
      </c>
      <c r="D96" s="214"/>
    </row>
    <row r="97" spans="2:5" ht="12.75" customHeight="1" x14ac:dyDescent="0.25">
      <c r="B97" s="220" t="s">
        <v>538</v>
      </c>
      <c r="C97" s="221">
        <v>0.25</v>
      </c>
      <c r="D97" s="214"/>
    </row>
    <row r="98" spans="2:5" ht="12.75" customHeight="1" x14ac:dyDescent="0.25">
      <c r="B98" s="212" t="s">
        <v>541</v>
      </c>
      <c r="C98" s="213">
        <v>0.28000000000000003</v>
      </c>
      <c r="D98" s="214">
        <f>C98/$C$102</f>
        <v>0.37837837837837834</v>
      </c>
    </row>
    <row r="99" spans="2:5" ht="12.75" customHeight="1" x14ac:dyDescent="0.25">
      <c r="B99" s="212" t="s">
        <v>544</v>
      </c>
      <c r="C99" s="213">
        <v>0.05</v>
      </c>
      <c r="D99" s="214">
        <f>C99/$C$102</f>
        <v>6.7567567567567557E-2</v>
      </c>
    </row>
    <row r="100" spans="2:5" ht="12.75" customHeight="1" x14ac:dyDescent="0.25">
      <c r="B100" s="215" t="s">
        <v>634</v>
      </c>
      <c r="C100" s="219">
        <f>C95+C98+C99</f>
        <v>0.73000000000000009</v>
      </c>
      <c r="D100" s="222">
        <f>C100/$C$102</f>
        <v>0.98648648648648651</v>
      </c>
    </row>
    <row r="101" spans="2:5" ht="12.75" customHeight="1" x14ac:dyDescent="0.25">
      <c r="B101" s="212" t="s">
        <v>546</v>
      </c>
      <c r="C101" s="213">
        <v>0.01</v>
      </c>
      <c r="D101" s="214">
        <f>C101/$C$102</f>
        <v>1.3513513513513513E-2</v>
      </c>
      <c r="E101" s="153" t="s">
        <v>635</v>
      </c>
    </row>
    <row r="102" spans="2:5" ht="12.75" customHeight="1" x14ac:dyDescent="0.25">
      <c r="B102" s="216" t="s">
        <v>633</v>
      </c>
      <c r="C102" s="217">
        <f>C95+C98+C99+C101</f>
        <v>0.7400000000000001</v>
      </c>
      <c r="D102" s="218">
        <f>C102/$C$104</f>
        <v>4.1484848484848493</v>
      </c>
    </row>
    <row r="103" spans="2:5" ht="12.75" customHeight="1" x14ac:dyDescent="0.25">
      <c r="B103" s="153"/>
    </row>
    <row r="104" spans="2:5" ht="12.75" customHeight="1" x14ac:dyDescent="0.3">
      <c r="B104" s="184" t="s">
        <v>740</v>
      </c>
      <c r="C104" s="214">
        <f>(D98+D99)*D104</f>
        <v>0.17837837837837836</v>
      </c>
      <c r="D104" s="227">
        <v>0.4</v>
      </c>
    </row>
    <row r="105" spans="2:5" ht="12.75" customHeight="1" x14ac:dyDescent="0.3">
      <c r="B105" s="184" t="s">
        <v>741</v>
      </c>
      <c r="C105" s="214">
        <f>(D98+D99)*D105</f>
        <v>0.2675675675675675</v>
      </c>
      <c r="D105" s="227">
        <v>0.6</v>
      </c>
    </row>
    <row r="106" spans="2:5" ht="12.75" customHeight="1" x14ac:dyDescent="0.3">
      <c r="B106" s="184" t="s">
        <v>590</v>
      </c>
      <c r="C106" s="214">
        <f>D95</f>
        <v>0.54054054054054046</v>
      </c>
    </row>
  </sheetData>
  <mergeCells count="2">
    <mergeCell ref="B93:B94"/>
    <mergeCell ref="C93:D93"/>
  </mergeCell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KOOND</vt:lpstr>
      <vt:lpstr>uus_info</vt:lpstr>
      <vt:lpstr>abitabelid</vt:lpstr>
      <vt:lpstr>Biomet_max</vt:lpstr>
      <vt:lpstr>Biomet_vähes</vt:lpstr>
      <vt:lpstr>Biomet_mittes</vt:lpstr>
      <vt:lpstr>Bioet_max</vt:lpstr>
      <vt:lpstr>Bioet_vähes</vt:lpstr>
      <vt:lpstr>Bioet_mittes</vt:lpstr>
      <vt:lpstr>Tulemused</vt:lpstr>
      <vt:lpstr>Bioetanooli abitabelid</vt:lpstr>
      <vt:lpstr>Lähteeeldused</vt:lpstr>
      <vt:lpstr>kütuste tarbimine EE</vt:lpstr>
      <vt:lpstr>standardid</vt:lpstr>
      <vt:lpstr>Eeldused</vt:lpstr>
      <vt:lpstr>Biometaan MAX_teadmistepõhine_k</vt:lpstr>
      <vt:lpstr>talituur</vt:lpstr>
      <vt:lpstr>TJ_kytusehinnad</vt:lpstr>
      <vt:lpstr>Biomet_max_GRAAf</vt:lpstr>
      <vt:lpstr>Sheet2</vt:lpstr>
      <vt:lpstr>Sheet3</vt:lpstr>
      <vt:lpstr>Sheet4</vt:lpstr>
      <vt:lpstr>kütuste tarbimine EE (2)</vt:lpstr>
      <vt:lpstr>Sheet5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Olavi</dc:creator>
  <cp:lastModifiedBy>Jaanus Uiga</cp:lastModifiedBy>
  <dcterms:created xsi:type="dcterms:W3CDTF">2014-01-06T19:56:06Z</dcterms:created>
  <dcterms:modified xsi:type="dcterms:W3CDTF">2014-09-07T12:58:24Z</dcterms:modified>
</cp:coreProperties>
</file>