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Tables/pivotTable2.xml" ContentType="application/vnd.openxmlformats-officedocument.spreadsheetml.pivotTable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34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pivotTables/pivotTable7.xml" ContentType="application/vnd.openxmlformats-officedocument.spreadsheetml.pivotTable+xml"/>
  <Override PartName="/xl/charts/chart21.xml" ContentType="application/vnd.openxmlformats-officedocument.drawingml.chart+xml"/>
  <Override PartName="/xl/comments10.xml" ContentType="application/vnd.openxmlformats-officedocument.spreadsheetml.comments+xml"/>
  <Override PartName="/xl/charts/chart3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omments3.xml" ContentType="application/vnd.openxmlformats-officedocument.spreadsheetml.comments+xml"/>
  <Override PartName="/xl/charts/chart28.xml" ContentType="application/vnd.openxmlformats-officedocument.drawingml.char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pivotTables/pivotTable8.xml" ContentType="application/vnd.openxmlformats-officedocument.spreadsheetml.pivotTable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autoCompressPictures="0" defaultThemeVersion="124226"/>
  <bookViews>
    <workbookView xWindow="-15" yWindow="-15" windowWidth="13470" windowHeight="13215" tabRatio="930" firstSheet="1" activeTab="5"/>
  </bookViews>
  <sheets>
    <sheet name="TransportBAU" sheetId="4" r:id="rId1"/>
    <sheet name="VS_TAK" sheetId="6" r:id="rId2"/>
    <sheet name="TransportEE" sheetId="5" r:id="rId3"/>
    <sheet name="aruandesse" sheetId="26" r:id="rId4"/>
    <sheet name="tbl_joonised_aruandesse" sheetId="24" r:id="rId5"/>
    <sheet name="Jooniseks_AastaKeskmine" sheetId="27" r:id="rId6"/>
    <sheet name="Meetmete_kulud_tuludaruande (2)" sheetId="31" r:id="rId7"/>
    <sheet name="Meetmed_maksumustega2020" sheetId="19" r:id="rId8"/>
    <sheet name="Meetmed_maksumustega_2030" sheetId="20" r:id="rId9"/>
    <sheet name="Aruandesse2020_maksumus" sheetId="29" r:id="rId10"/>
    <sheet name="BAU" sheetId="11" r:id="rId11"/>
    <sheet name="TAK" sheetId="12" r:id="rId12"/>
    <sheet name="EE" sheetId="13" r:id="rId13"/>
    <sheet name="kl tervisemõju" sheetId="21" r:id="rId14"/>
    <sheet name="Transpordi_kytused_maksud2020" sheetId="1" r:id="rId15"/>
    <sheet name="Kytuste_hind_maksud2030" sheetId="2" r:id="rId16"/>
    <sheet name="Kytused2050" sheetId="7" r:id="rId17"/>
    <sheet name="TJ_kytusehinnad" sheetId="22" r:id="rId18"/>
    <sheet name="STREAM" sheetId="16" r:id="rId19"/>
    <sheet name="Autod" sheetId="17" r:id="rId20"/>
    <sheet name="Raudtee" sheetId="18" r:id="rId21"/>
    <sheet name="CO2valiskulu" sheetId="2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RESULTS____" localSheetId="12">#REF!</definedName>
    <definedName name="_____RESULTS____" localSheetId="5">#REF!</definedName>
    <definedName name="_____RESULTS____" localSheetId="8">#REF!</definedName>
    <definedName name="_____RESULTS____" localSheetId="11">#REF!</definedName>
    <definedName name="_____RESULTS____" localSheetId="17">#REF!</definedName>
    <definedName name="_____RESULTS____">#REF!</definedName>
    <definedName name="___INPUT_DATA___" localSheetId="12">#REF!</definedName>
    <definedName name="___INPUT_DATA___" localSheetId="5">#REF!</definedName>
    <definedName name="___INPUT_DATA___" localSheetId="11">#REF!</definedName>
    <definedName name="___INPUT_DATA___">#REF!</definedName>
    <definedName name="_2">'[1]Basic Information'!$B$7</definedName>
    <definedName name="Annual_Fuel_Consumption_t" localSheetId="12">#REF!</definedName>
    <definedName name="Annual_Fuel_Consumption_t" localSheetId="5">#REF!</definedName>
    <definedName name="Annual_Fuel_Consumption_t" localSheetId="8">#REF!</definedName>
    <definedName name="Annual_Fuel_Consumption_t" localSheetId="7">#REF!</definedName>
    <definedName name="Annual_Fuel_Consumption_t" localSheetId="6">#REF!</definedName>
    <definedName name="Annual_Fuel_Consumption_t" localSheetId="11">#REF!</definedName>
    <definedName name="Annual_Fuel_Consumption_t">#REF!</definedName>
    <definedName name="balmorel_base_name">'[2]Basic Information'!$B$10</definedName>
    <definedName name="balmorel_base_year">'[2]Basic Information'!$C$10</definedName>
    <definedName name="balmorel_ref_name">'[2]Basic Information'!$B$11</definedName>
    <definedName name="balmorel_ref_year">'[2]Basic Information'!$C$11</definedName>
    <definedName name="balmorel_scen_name">'[2]Basic Information'!$B$12</definedName>
    <definedName name="balmorel_scen_year">'[2]Basic Information'!$C$12</definedName>
    <definedName name="Base_year" localSheetId="15">'[3]Basic Information'!$C$7</definedName>
    <definedName name="Base_year" localSheetId="8">'[2]Basic Information'!$C$7</definedName>
    <definedName name="Base_year" localSheetId="7">'[2]Basic Information'!$C$7</definedName>
    <definedName name="Base_year" localSheetId="17">'[2]Basic Information'!$C$7</definedName>
    <definedName name="Base_year">'[4]Basic Information'!$C$7</definedName>
    <definedName name="Basename" localSheetId="15">'[3]Basic Information'!$B$7</definedName>
    <definedName name="Basename" localSheetId="8">'[2]Basic Information'!$B$7</definedName>
    <definedName name="Basename" localSheetId="7">'[2]Basic Information'!$B$7</definedName>
    <definedName name="Basename" localSheetId="17">'[2]Basic Information'!$B$7</definedName>
    <definedName name="Basename">'[4]Basic Information'!$B$7</definedName>
    <definedName name="cap_rate" localSheetId="15">'[3]Basic Information'!$C$32</definedName>
    <definedName name="cap_rate" localSheetId="8">'[2]Basic Information'!$C$32</definedName>
    <definedName name="cap_rate" localSheetId="7">'[2]Basic Information'!$C$32</definedName>
    <definedName name="cap_rate" localSheetId="17">'[2]Basic Information'!$C$32</definedName>
    <definedName name="cap_rate">'[4]Basic Information'!$C$32</definedName>
    <definedName name="CO2_cost_base">'[2]Basic Information'!$C$57</definedName>
    <definedName name="CO2_cost_ref">'[2]Basic Information'!$D$57</definedName>
    <definedName name="CO2_cost_sce">'[2]Basic Information'!$E$57</definedName>
    <definedName name="dfl">[5]Finants!$D$22</definedName>
    <definedName name="DHProdUnit" localSheetId="12">OFFSET(#REF!,0,0,COUNTA(#REF!))</definedName>
    <definedName name="DHProdUnit" localSheetId="5">OFFSET(#REF!,0,0,COUNTA(#REF!))</definedName>
    <definedName name="DHProdUnit" localSheetId="15">OFFSET(#REF!,0,0,COUNTA(#REF!))</definedName>
    <definedName name="DHProdUnit" localSheetId="8">OFFSET('[2]DH-Tech'!$A$12,0,0,COUNTA('[2]DH-Tech'!$A$12:$A$76))</definedName>
    <definedName name="DHProdUnit" localSheetId="7">OFFSET('[2]DH-Tech'!$A$12,0,0,COUNTA('[2]DH-Tech'!$A$12:$A$76))</definedName>
    <definedName name="DHProdUnit" localSheetId="6">OFFSET(#REF!,0,0,COUNTA(#REF!))</definedName>
    <definedName name="DHProdUnit" localSheetId="11">OFFSET(#REF!,0,0,COUNTA(#REF!))</definedName>
    <definedName name="DHProdUnit" localSheetId="17">OFFSET('[2]DH-Tech'!$A$12,0,0,COUNTA('[2]DH-Tech'!$A$12:$A$76))</definedName>
    <definedName name="DHProdUnit">OFFSET(#REF!,0,0,COUNTA(#REF!))</definedName>
    <definedName name="Dispatch" localSheetId="12">OFFSET(#REF!,0,0,COUNTA(#REF!))</definedName>
    <definedName name="Dispatch" localSheetId="5">OFFSET(#REF!,0,0,COUNTA(#REF!))</definedName>
    <definedName name="Dispatch" localSheetId="15">OFFSET(#REF!,0,0,COUNTA(#REF!))</definedName>
    <definedName name="Dispatch" localSheetId="8">OFFSET([2]Definitions!$L$11,0,0,COUNTA([2]Definitions!$L$11:$L$28))</definedName>
    <definedName name="Dispatch" localSheetId="7">OFFSET([2]Definitions!$L$11,0,0,COUNTA([2]Definitions!$L$11:$L$28))</definedName>
    <definedName name="Dispatch" localSheetId="6">OFFSET(#REF!,0,0,COUNTA(#REF!))</definedName>
    <definedName name="Dispatch" localSheetId="11">OFFSET(#REF!,0,0,COUNTA(#REF!))</definedName>
    <definedName name="Dispatch" localSheetId="17">OFFSET([2]Definitions!$L$11,0,0,COUNTA([2]Definitions!$L$11:$L$28))</definedName>
    <definedName name="Dispatch">OFFSET(#REF!,0,0,COUNTA(#REF!))</definedName>
    <definedName name="DKKTOEUR" localSheetId="15">'[3]Basic Information'!$C$33</definedName>
    <definedName name="DKKTOEUR" localSheetId="8">'[2]Basic Information'!$C$33</definedName>
    <definedName name="DKKTOEUR" localSheetId="7">'[2]Basic Information'!$C$33</definedName>
    <definedName name="DKKTOEUR" localSheetId="17">'[2]Basic Information'!$C$33</definedName>
    <definedName name="DKKTOEUR">'[4]Basic Information'!$C$33</definedName>
    <definedName name="DurCurveHeat" localSheetId="12">OFFSET(#REF!,0,0,COUNTA(#REF!))</definedName>
    <definedName name="DurCurveHeat" localSheetId="5">OFFSET(#REF!,0,0,COUNTA(#REF!))</definedName>
    <definedName name="DurCurveHeat" localSheetId="15">OFFSET(#REF!,0,0,COUNTA(#REF!))</definedName>
    <definedName name="DurCurveHeat" localSheetId="8">OFFSET([2]Definitions!$P$11,0,0,COUNTA([2]Definitions!$P$11:$P$30))</definedName>
    <definedName name="DurCurveHeat" localSheetId="7">OFFSET([2]Definitions!$P$11,0,0,COUNTA([2]Definitions!$P$11:$P$30))</definedName>
    <definedName name="DurCurveHeat" localSheetId="6">OFFSET(#REF!,0,0,COUNTA(#REF!))</definedName>
    <definedName name="DurCurveHeat" localSheetId="11">OFFSET(#REF!,0,0,COUNTA(#REF!))</definedName>
    <definedName name="DurCurveHeat" localSheetId="17">OFFSET([2]Definitions!$P$11,0,0,COUNTA([2]Definitions!$P$11:$P$30))</definedName>
    <definedName name="DurCurveHeat">OFFSET(#REF!,0,0,COUNTA(#REF!))</definedName>
    <definedName name="DurCurvePower" localSheetId="12">OFFSET(#REF!,0,0,COUNTA(#REF!))</definedName>
    <definedName name="DurCurvePower" localSheetId="5">OFFSET(#REF!,0,0,COUNTA(#REF!))</definedName>
    <definedName name="DurCurvePower" localSheetId="15">OFFSET(#REF!,0,0,COUNTA(#REF!))</definedName>
    <definedName name="DurCurvePower" localSheetId="8">OFFSET([2]Definitions!$J$11,0,0,COUNTA([2]Definitions!$J$11:$J$30))</definedName>
    <definedName name="DurCurvePower" localSheetId="7">OFFSET([2]Definitions!$J$11,0,0,COUNTA([2]Definitions!$J$11:$J$30))</definedName>
    <definedName name="DurCurvePower" localSheetId="6">OFFSET(#REF!,0,0,COUNTA(#REF!))</definedName>
    <definedName name="DurCurvePower" localSheetId="11">OFFSET(#REF!,0,0,COUNTA(#REF!))</definedName>
    <definedName name="DurCurvePower" localSheetId="17">OFFSET([2]Definitions!$J$11,0,0,COUNTA([2]Definitions!$J$11:$J$30))</definedName>
    <definedName name="DurCurvePower">OFFSET(#REF!,0,0,COUNTA(#REF!))</definedName>
    <definedName name="ElProdUnit" localSheetId="12">OFFSET(#REF!,0,0,COUNTA(#REF!))</definedName>
    <definedName name="ElProdUnit" localSheetId="5">OFFSET(#REF!,0,0,COUNTA(#REF!))</definedName>
    <definedName name="ElProdUnit" localSheetId="15">OFFSET(#REF!,0,0,COUNTA(#REF!))</definedName>
    <definedName name="ElProdUnit" localSheetId="8">OFFSET('[2]El-Tech'!$A$12,0,0,COUNTA('[2]El-Tech'!$A$12:$A$75))</definedName>
    <definedName name="ElProdUnit" localSheetId="7">OFFSET('[2]El-Tech'!$A$12,0,0,COUNTA('[2]El-Tech'!$A$12:$A$75))</definedName>
    <definedName name="ElProdUnit" localSheetId="6">OFFSET(#REF!,0,0,COUNTA(#REF!))</definedName>
    <definedName name="ElProdUnit" localSheetId="11">OFFSET(#REF!,0,0,COUNTA(#REF!))</definedName>
    <definedName name="ElProdUnit" localSheetId="17">OFFSET('[2]El-Tech'!$A$12,0,0,COUNTA('[2]El-Tech'!$A$12:$A$75))</definedName>
    <definedName name="ElProdUnit">OFFSET(#REF!,0,0,COUNTA(#REF!))</definedName>
    <definedName name="ff">'[6]Basic Information'!$B$8</definedName>
    <definedName name="FuelCategory" localSheetId="12">OFFSET(#REF!,0,0,COUNTA(#REF!))</definedName>
    <definedName name="FuelCategory" localSheetId="5">OFFSET(#REF!,0,0,COUNTA(#REF!))</definedName>
    <definedName name="FuelCategory" localSheetId="15">OFFSET(#REF!,0,0,COUNTA(#REF!))</definedName>
    <definedName name="FuelCategory" localSheetId="8">OFFSET([2]Definitions!$D$11,0,0,COUNTA([2]Definitions!$D$11:$D$30))</definedName>
    <definedName name="FuelCategory" localSheetId="7">OFFSET([2]Definitions!$D$11,0,0,COUNTA([2]Definitions!$D$11:$D$30))</definedName>
    <definedName name="FuelCategory" localSheetId="6">OFFSET(#REF!,0,0,COUNTA(#REF!))</definedName>
    <definedName name="FuelCategory" localSheetId="11">OFFSET(#REF!,0,0,COUNTA(#REF!))</definedName>
    <definedName name="FuelCategory" localSheetId="17">OFFSET([2]Definitions!$D$11,0,0,COUNTA([2]Definitions!$D$11:$D$30))</definedName>
    <definedName name="FuelCategory">OFFSET(#REF!,0,0,COUNTA(#REF!))</definedName>
    <definedName name="FuelName" localSheetId="12">OFFSET(#REF!,0,0,COUNTA(#REF!))</definedName>
    <definedName name="FuelName" localSheetId="5">OFFSET(#REF!,0,0,COUNTA(#REF!))</definedName>
    <definedName name="FuelName" localSheetId="15">OFFSET(#REF!,0,0,COUNTA(#REF!))</definedName>
    <definedName name="FuelName" localSheetId="8">OFFSET('[2]Fuel data'!$A$11,0,0,COUNTA('[2]Fuel data'!$A$11:$A$75))</definedName>
    <definedName name="FuelName" localSheetId="7">OFFSET('[2]Fuel data'!$A$11,0,0,COUNTA('[2]Fuel data'!$A$11:$A$75))</definedName>
    <definedName name="FuelName" localSheetId="6">OFFSET(#REF!,0,0,COUNTA(#REF!))</definedName>
    <definedName name="FuelName" localSheetId="11">OFFSET(#REF!,0,0,COUNTA(#REF!))</definedName>
    <definedName name="FuelName" localSheetId="17">OFFSET('[2]Fuel data'!$A$11,0,0,COUNTA('[2]Fuel data'!$A$11:$A$75))</definedName>
    <definedName name="FuelName">OFFSET(#REF!,0,0,COUNTA(#REF!))</definedName>
    <definedName name="FuelState" localSheetId="12">OFFSET(#REF!,0,0,COUNTA(#REF!))</definedName>
    <definedName name="FuelState" localSheetId="5">OFFSET(#REF!,0,0,COUNTA(#REF!))</definedName>
    <definedName name="FuelState" localSheetId="15">OFFSET(#REF!,0,0,COUNTA(#REF!))</definedName>
    <definedName name="FuelState" localSheetId="8">OFFSET([2]Definitions!$E$11,0,0,COUNTA([2]Definitions!$E$11:$E$30))</definedName>
    <definedName name="FuelState" localSheetId="7">OFFSET([2]Definitions!$E$11,0,0,COUNTA([2]Definitions!$E$11:$E$30))</definedName>
    <definedName name="FuelState" localSheetId="6">OFFSET(#REF!,0,0,COUNTA(#REF!))</definedName>
    <definedName name="FuelState" localSheetId="11">OFFSET(#REF!,0,0,COUNTA(#REF!))</definedName>
    <definedName name="FuelState" localSheetId="17">OFFSET([2]Definitions!$E$11,0,0,COUNTA([2]Definitions!$E$11:$E$30))</definedName>
    <definedName name="FuelState">OFFSET(#REF!,0,0,COUNTA(#REF!))</definedName>
    <definedName name="FuelType" localSheetId="12">OFFSET(#REF!,0,0,COUNTA(#REF!))</definedName>
    <definedName name="FuelType" localSheetId="5">OFFSET(#REF!,0,0,COUNTA(#REF!))</definedName>
    <definedName name="FuelType" localSheetId="15">OFFSET(#REF!,0,0,COUNTA(#REF!))</definedName>
    <definedName name="FuelType" localSheetId="8">OFFSET([2]Definitions!$C$11,0,0,COUNTA([2]Definitions!$C$11:$C$30))</definedName>
    <definedName name="FuelType" localSheetId="7">OFFSET([2]Definitions!$C$11,0,0,COUNTA([2]Definitions!$C$11:$C$30))</definedName>
    <definedName name="FuelType" localSheetId="6">OFFSET(#REF!,0,0,COUNTA(#REF!))</definedName>
    <definedName name="FuelType" localSheetId="11">OFFSET(#REF!,0,0,COUNTA(#REF!))</definedName>
    <definedName name="FuelType" localSheetId="17">OFFSET([2]Definitions!$C$11,0,0,COUNTA([2]Definitions!$C$11:$C$30))</definedName>
    <definedName name="FuelType">OFFSET(#REF!,0,0,COUNTA(#REF!))</definedName>
    <definedName name="H_CH4_Emiss_t" localSheetId="12">#REF!</definedName>
    <definedName name="H_CH4_Emiss_t" localSheetId="5">#REF!</definedName>
    <definedName name="H_CH4_Emiss_t" localSheetId="8">#REF!</definedName>
    <definedName name="H_CH4_Emiss_t" localSheetId="7">#REF!</definedName>
    <definedName name="H_CH4_Emiss_t" localSheetId="6">#REF!</definedName>
    <definedName name="H_CH4_Emiss_t" localSheetId="11">#REF!</definedName>
    <definedName name="H_CH4_Emiss_t" localSheetId="17">#REF!</definedName>
    <definedName name="H_CH4_Emiss_t">#REF!</definedName>
    <definedName name="H_CO2_AC_Emiss_t" localSheetId="12">#REF!</definedName>
    <definedName name="H_CO2_AC_Emiss_t" localSheetId="5">#REF!</definedName>
    <definedName name="H_CO2_AC_Emiss_t" localSheetId="8">#REF!</definedName>
    <definedName name="H_CO2_AC_Emiss_t" localSheetId="7">#REF!</definedName>
    <definedName name="H_CO2_AC_Emiss_t" localSheetId="11">#REF!</definedName>
    <definedName name="H_CO2_AC_Emiss_t">#REF!</definedName>
    <definedName name="H_CO2_Emiss_t" localSheetId="12">#REF!</definedName>
    <definedName name="H_CO2_Emiss_t" localSheetId="5">#REF!</definedName>
    <definedName name="H_CO2_Emiss_t" localSheetId="8">#REF!</definedName>
    <definedName name="H_CO2_Emiss_t" localSheetId="7">#REF!</definedName>
    <definedName name="H_CO2_Emiss_t" localSheetId="11">#REF!</definedName>
    <definedName name="H_CO2_Emiss_t">#REF!</definedName>
    <definedName name="H_CO2_Lube_Emiss_t" localSheetId="12">#REF!</definedName>
    <definedName name="H_CO2_Lube_Emiss_t" localSheetId="5">#REF!</definedName>
    <definedName name="H_CO2_Lube_Emiss_t" localSheetId="11">#REF!</definedName>
    <definedName name="H_CO2_Lube_Emiss_t">#REF!</definedName>
    <definedName name="H_CO2_SCR_Emiss_t" localSheetId="12">#REF!</definedName>
    <definedName name="H_CO2_SCR_Emiss_t" localSheetId="5">#REF!</definedName>
    <definedName name="H_CO2_SCR_Emiss_t" localSheetId="11">#REF!</definedName>
    <definedName name="H_CO2_SCR_Emiss_t">#REF!</definedName>
    <definedName name="H_FC_AC_Emiss_t" localSheetId="12">#REF!</definedName>
    <definedName name="H_FC_AC_Emiss_t" localSheetId="5">#REF!</definedName>
    <definedName name="H_FC_AC_Emiss_t" localSheetId="11">#REF!</definedName>
    <definedName name="H_FC_AC_Emiss_t">#REF!</definedName>
    <definedName name="H_FC_Emiss_t" localSheetId="12">#REF!</definedName>
    <definedName name="H_FC_Emiss_t" localSheetId="5">#REF!</definedName>
    <definedName name="H_FC_Emiss_t" localSheetId="11">#REF!</definedName>
    <definedName name="H_FC_Emiss_t">#REF!</definedName>
    <definedName name="H_N2O_Emiss_t" localSheetId="12">#REF!</definedName>
    <definedName name="H_N2O_Emiss_t" localSheetId="5">#REF!</definedName>
    <definedName name="H_N2O_Emiss_t" localSheetId="11">#REF!</definedName>
    <definedName name="H_N2O_Emiss_t">#REF!</definedName>
    <definedName name="H_Share_perc" localSheetId="12">#REF!</definedName>
    <definedName name="H_Share_perc" localSheetId="5">#REF!</definedName>
    <definedName name="H_Share_perc" localSheetId="11">#REF!</definedName>
    <definedName name="H_Share_perc">#REF!</definedName>
    <definedName name="H_Speed_km_per_h" localSheetId="12">#REF!</definedName>
    <definedName name="H_Speed_km_per_h" localSheetId="5">#REF!</definedName>
    <definedName name="H_Speed_km_per_h" localSheetId="11">#REF!</definedName>
    <definedName name="H_Speed_km_per_h">#REF!</definedName>
    <definedName name="IndTech" localSheetId="12">OFFSET(#REF!,0,0,COUNTA(#REF!))</definedName>
    <definedName name="IndTech" localSheetId="5">OFFSET(#REF!,0,0,COUNTA(#REF!))</definedName>
    <definedName name="IndTech" localSheetId="15">OFFSET(#REF!,0,0,COUNTA(#REF!))</definedName>
    <definedName name="IndTech" localSheetId="8">OFFSET('[2]Ind-Tech'!$A$11,0,0,COUNTA('[2]Ind-Tech'!$A$11:$A$75))</definedName>
    <definedName name="IndTech" localSheetId="7">OFFSET('[2]Ind-Tech'!$A$11,0,0,COUNTA('[2]Ind-Tech'!$A$11:$A$75))</definedName>
    <definedName name="IndTech" localSheetId="6">OFFSET(#REF!,0,0,COUNTA(#REF!))</definedName>
    <definedName name="IndTech" localSheetId="11">OFFSET(#REF!,0,0,COUNTA(#REF!))</definedName>
    <definedName name="IndTech" localSheetId="17">OFFSET('[2]Ind-Tech'!$A$11,0,0,COUNTA('[2]Ind-Tech'!$A$11:$A$75))</definedName>
    <definedName name="IndTech">OFFSET(#REF!,0,0,COUNTA(#REF!))</definedName>
    <definedName name="Mean_Fleet_Mileage_km" localSheetId="12">#REF!</definedName>
    <definedName name="Mean_Fleet_Mileage_km" localSheetId="5">#REF!</definedName>
    <definedName name="Mean_Fleet_Mileage_km" localSheetId="8">#REF!</definedName>
    <definedName name="Mean_Fleet_Mileage_km" localSheetId="7">#REF!</definedName>
    <definedName name="Mean_Fleet_Mileage_km" localSheetId="6">#REF!</definedName>
    <definedName name="Mean_Fleet_Mileage_km" localSheetId="11">#REF!</definedName>
    <definedName name="Mean_Fleet_Mileage_km" localSheetId="17">#REF!</definedName>
    <definedName name="Mean_Fleet_Mileage_km">#REF!</definedName>
    <definedName name="Mode" localSheetId="12">OFFSET(#REF!,0,0,COUNTA(#REF!))</definedName>
    <definedName name="Mode" localSheetId="5">OFFSET(#REF!,0,0,COUNTA(#REF!))</definedName>
    <definedName name="Mode" localSheetId="15">OFFSET(#REF!,0,0,COUNTA(#REF!))</definedName>
    <definedName name="Mode" localSheetId="8">OFFSET([2]Definitions!$N$11,0,0,COUNTA([2]Definitions!$N$11:$N$30))</definedName>
    <definedName name="Mode" localSheetId="7">OFFSET([2]Definitions!$N$11,0,0,COUNTA([2]Definitions!$N$11:$N$30))</definedName>
    <definedName name="Mode" localSheetId="6">OFFSET(#REF!,0,0,COUNTA(#REF!))</definedName>
    <definedName name="Mode" localSheetId="11">OFFSET(#REF!,0,0,COUNTA(#REF!))</definedName>
    <definedName name="Mode" localSheetId="17">OFFSET([2]Definitions!$N$11,0,0,COUNTA([2]Definitions!$N$11:$N$30))</definedName>
    <definedName name="Mode">OFFSET(#REF!,0,0,COUNTA(#REF!))</definedName>
    <definedName name="ModelMode" localSheetId="12">#REF!</definedName>
    <definedName name="ModelMode" localSheetId="5">#REF!</definedName>
    <definedName name="ModelMode" localSheetId="15">#REF!</definedName>
    <definedName name="ModelMode" localSheetId="8">[2]Definitions!$R$11:$R$12</definedName>
    <definedName name="ModelMode" localSheetId="7">[2]Definitions!$R$11:$R$12</definedName>
    <definedName name="ModelMode" localSheetId="6">#REF!</definedName>
    <definedName name="ModelMode" localSheetId="11">#REF!</definedName>
    <definedName name="ModelMode" localSheetId="17">[2]Definitions!$R$11:$R$12</definedName>
    <definedName name="ModelMode">#REF!</definedName>
    <definedName name="R_CH4_Emiss_t" localSheetId="12">#REF!</definedName>
    <definedName name="R_CH4_Emiss_t" localSheetId="5">#REF!</definedName>
    <definedName name="R_CH4_Emiss_t" localSheetId="8">#REF!</definedName>
    <definedName name="R_CH4_Emiss_t" localSheetId="7">#REF!</definedName>
    <definedName name="R_CH4_Emiss_t" localSheetId="6">#REF!</definedName>
    <definedName name="R_CH4_Emiss_t" localSheetId="11">#REF!</definedName>
    <definedName name="R_CH4_Emiss_t" localSheetId="17">#REF!</definedName>
    <definedName name="R_CH4_Emiss_t">#REF!</definedName>
    <definedName name="R_CO2_AC_Emiss_t" localSheetId="12">#REF!</definedName>
    <definedName name="R_CO2_AC_Emiss_t" localSheetId="5">#REF!</definedName>
    <definedName name="R_CO2_AC_Emiss_t" localSheetId="11">#REF!</definedName>
    <definedName name="R_CO2_AC_Emiss_t">#REF!</definedName>
    <definedName name="R_CO2_Emiss_t" localSheetId="12">#REF!</definedName>
    <definedName name="R_CO2_Emiss_t" localSheetId="5">#REF!</definedName>
    <definedName name="R_CO2_Emiss_t" localSheetId="11">#REF!</definedName>
    <definedName name="R_CO2_Emiss_t">#REF!</definedName>
    <definedName name="R_CO2_Lube_Emiss_t" localSheetId="12">#REF!</definedName>
    <definedName name="R_CO2_Lube_Emiss_t" localSheetId="5">#REF!</definedName>
    <definedName name="R_CO2_Lube_Emiss_t" localSheetId="11">#REF!</definedName>
    <definedName name="R_CO2_Lube_Emiss_t">#REF!</definedName>
    <definedName name="R_CO2_SCR_Emiss_t" localSheetId="12">#REF!</definedName>
    <definedName name="R_CO2_SCR_Emiss_t" localSheetId="5">#REF!</definedName>
    <definedName name="R_CO2_SCR_Emiss_t" localSheetId="11">#REF!</definedName>
    <definedName name="R_CO2_SCR_Emiss_t">#REF!</definedName>
    <definedName name="R_FC_AC_Emiss_t" localSheetId="12">#REF!</definedName>
    <definedName name="R_FC_AC_Emiss_t" localSheetId="5">#REF!</definedName>
    <definedName name="R_FC_AC_Emiss_t" localSheetId="11">#REF!</definedName>
    <definedName name="R_FC_AC_Emiss_t">#REF!</definedName>
    <definedName name="R_FC_Emiss_t" localSheetId="12">#REF!</definedName>
    <definedName name="R_FC_Emiss_t" localSheetId="5">#REF!</definedName>
    <definedName name="R_FC_Emiss_t" localSheetId="11">#REF!</definedName>
    <definedName name="R_FC_Emiss_t">#REF!</definedName>
    <definedName name="R_N2O_Emiss_t" localSheetId="12">#REF!</definedName>
    <definedName name="R_N2O_Emiss_t" localSheetId="5">#REF!</definedName>
    <definedName name="R_N2O_Emiss_t" localSheetId="11">#REF!</definedName>
    <definedName name="R_N2O_Emiss_t">#REF!</definedName>
    <definedName name="R_Share_perc" localSheetId="12">#REF!</definedName>
    <definedName name="R_Share_perc" localSheetId="5">#REF!</definedName>
    <definedName name="R_Share_perc" localSheetId="11">#REF!</definedName>
    <definedName name="R_Share_perc">#REF!</definedName>
    <definedName name="R_Speed_km_per_h" localSheetId="12">#REF!</definedName>
    <definedName name="R_Speed_km_per_h" localSheetId="5">#REF!</definedName>
    <definedName name="R_Speed_km_per_h" localSheetId="11">#REF!</definedName>
    <definedName name="R_Speed_km_per_h">#REF!</definedName>
    <definedName name="Reference_name" localSheetId="15">'[3]Basic Information'!$B$8</definedName>
    <definedName name="Reference_name" localSheetId="8">'[2]Basic Information'!$B$8</definedName>
    <definedName name="Reference_name" localSheetId="7">'[2]Basic Information'!$B$8</definedName>
    <definedName name="Reference_name" localSheetId="17">'[2]Basic Information'!$B$8</definedName>
    <definedName name="Reference_name">'[4]Basic Information'!$B$8</definedName>
    <definedName name="Reference_year" localSheetId="15">'[3]Basic Information'!$C$8</definedName>
    <definedName name="Reference_year" localSheetId="8">'[2]Basic Information'!$C$8</definedName>
    <definedName name="Reference_year" localSheetId="7">'[2]Basic Information'!$C$8</definedName>
    <definedName name="Reference_year" localSheetId="17">'[2]Basic Information'!$C$8</definedName>
    <definedName name="Reference_year">'[4]Basic Information'!$C$8</definedName>
    <definedName name="RefinedFuels" localSheetId="12">OFFSET(#REF!, 0, 0, COUNT(IF(#REF!="", "", 1)), 1)</definedName>
    <definedName name="RefinedFuels" localSheetId="5">OFFSET(#REF!, 0, 0, COUNT(IF(#REF!="", "", 1)), 1)</definedName>
    <definedName name="RefinedFuels" localSheetId="15">OFFSET(#REF!, 0, 0, COUNT(IF(#REF!="", "", 1)), 1)</definedName>
    <definedName name="RefinedFuels" localSheetId="8">OFFSET([2]Definitions!$G$11, 0, 0, COUNT(IF([2]Definitions!$G$11:$G$75="", "", 1)), 1)</definedName>
    <definedName name="RefinedFuels" localSheetId="7">OFFSET([2]Definitions!$G$11, 0, 0, COUNT(IF([2]Definitions!$G$11:$G$75="", "", 1)), 1)</definedName>
    <definedName name="RefinedFuels" localSheetId="6">OFFSET(#REF!, 0, 0, COUNT(IF(#REF!="", "", 1)), 1)</definedName>
    <definedName name="RefinedFuels" localSheetId="11">OFFSET(#REF!, 0, 0, COUNT(IF(#REF!="", "", 1)), 1)</definedName>
    <definedName name="RefinedFuels" localSheetId="17">OFFSET([2]Definitions!$G$11, 0, 0, COUNT(IF([2]Definitions!$G$11:$G$75="", "", 1)), 1)</definedName>
    <definedName name="RefinedFuels">OFFSET(#REF!, 0, 0, COUNT(IF(#REF!="", "", 1)), 1)</definedName>
    <definedName name="ResTech" localSheetId="12">OFFSET(#REF!,0,0,COUNTA(#REF!))</definedName>
    <definedName name="ResTech" localSheetId="5">OFFSET(#REF!,0,0,COUNTA(#REF!))</definedName>
    <definedName name="ResTech" localSheetId="15">OFFSET(#REF!,0,0,COUNTA(#REF!))</definedName>
    <definedName name="ResTech" localSheetId="8">OFFSET('[2]Res-Tech'!$A$11,0,0,COUNTA('[2]Res-Tech'!$A$11:$A$75))</definedName>
    <definedName name="ResTech" localSheetId="7">OFFSET('[2]Res-Tech'!$A$11,0,0,COUNTA('[2]Res-Tech'!$A$11:$A$75))</definedName>
    <definedName name="ResTech" localSheetId="6">OFFSET(#REF!,0,0,COUNTA(#REF!))</definedName>
    <definedName name="ResTech" localSheetId="11">OFFSET(#REF!,0,0,COUNTA(#REF!))</definedName>
    <definedName name="ResTech" localSheetId="17">OFFSET('[2]Res-Tech'!$A$11,0,0,COUNTA('[2]Res-Tech'!$A$11:$A$75))</definedName>
    <definedName name="ResTech">OFFSET(#REF!,0,0,COUNTA(#REF!))</definedName>
    <definedName name="Scenario_name" localSheetId="15">'[3]Basic Information'!$B$9</definedName>
    <definedName name="Scenario_name" localSheetId="8">'[2]Basic Information'!$B$9</definedName>
    <definedName name="Scenario_name" localSheetId="7">'[2]Basic Information'!$B$9</definedName>
    <definedName name="Scenario_name" localSheetId="17">'[2]Basic Information'!$B$9</definedName>
    <definedName name="Scenario_name">'[4]Basic Information'!$B$9</definedName>
    <definedName name="Scenario_year" localSheetId="15">'[3]Basic Information'!$C$9</definedName>
    <definedName name="Scenario_year" localSheetId="8">'[2]Basic Information'!$C$9</definedName>
    <definedName name="Scenario_year" localSheetId="7">'[2]Basic Information'!$C$9</definedName>
    <definedName name="Scenario_year" localSheetId="17">'[2]Basic Information'!$C$9</definedName>
    <definedName name="Scenario_year">'[4]Basic Information'!$C$9</definedName>
    <definedName name="TerTech" localSheetId="12">OFFSET(#REF!,0,0,COUNTA(#REF!))</definedName>
    <definedName name="TerTech" localSheetId="5">OFFSET(#REF!,0,0,COUNTA(#REF!))</definedName>
    <definedName name="TerTech" localSheetId="15">OFFSET(#REF!,0,0,COUNTA(#REF!))</definedName>
    <definedName name="TerTech" localSheetId="8">OFFSET('[2]Ter-Tech'!$A$11,0,0,COUNTA('[2]Ter-Tech'!$A$11:$A$75))</definedName>
    <definedName name="TerTech" localSheetId="7">OFFSET('[2]Ter-Tech'!$A$11,0,0,COUNTA('[2]Ter-Tech'!$A$11:$A$75))</definedName>
    <definedName name="TerTech" localSheetId="6">OFFSET(#REF!,0,0,COUNTA(#REF!))</definedName>
    <definedName name="TerTech" localSheetId="11">OFFSET(#REF!,0,0,COUNTA(#REF!))</definedName>
    <definedName name="TerTech" localSheetId="17">OFFSET('[2]Ter-Tech'!$A$11,0,0,COUNTA('[2]Ter-Tech'!$A$11:$A$75))</definedName>
    <definedName name="TerTech">OFFSET(#REF!,0,0,COUNTA(#REF!))</definedName>
    <definedName name="Total_CH4_Emiss_t" localSheetId="12">#REF!</definedName>
    <definedName name="Total_CH4_Emiss_t" localSheetId="5">#REF!</definedName>
    <definedName name="Total_CH4_Emiss_t" localSheetId="8">#REF!</definedName>
    <definedName name="Total_CH4_Emiss_t" localSheetId="7">#REF!</definedName>
    <definedName name="Total_CH4_Emiss_t" localSheetId="6">#REF!</definedName>
    <definedName name="Total_CH4_Emiss_t" localSheetId="11">#REF!</definedName>
    <definedName name="Total_CH4_Emiss_t" localSheetId="17">#REF!</definedName>
    <definedName name="Total_CH4_Emiss_t">#REF!</definedName>
    <definedName name="Total_CO2_AC_Emiss_t" localSheetId="12">#REF!</definedName>
    <definedName name="Total_CO2_AC_Emiss_t" localSheetId="5">#REF!</definedName>
    <definedName name="Total_CO2_AC_Emiss_t" localSheetId="8">#REF!</definedName>
    <definedName name="Total_CO2_AC_Emiss_t" localSheetId="7">#REF!</definedName>
    <definedName name="Total_CO2_AC_Emiss_t" localSheetId="11">#REF!</definedName>
    <definedName name="Total_CO2_AC_Emiss_t">#REF!</definedName>
    <definedName name="Total_CO2_Emiss_t" localSheetId="12">#REF!</definedName>
    <definedName name="Total_CO2_Emiss_t" localSheetId="5">#REF!</definedName>
    <definedName name="Total_CO2_Emiss_t" localSheetId="8">#REF!</definedName>
    <definedName name="Total_CO2_Emiss_t" localSheetId="7">#REF!</definedName>
    <definedName name="Total_CO2_Emiss_t" localSheetId="11">#REF!</definedName>
    <definedName name="Total_CO2_Emiss_t">#REF!</definedName>
    <definedName name="Total_CO2_Lube_Emiss_t" localSheetId="12">#REF!</definedName>
    <definedName name="Total_CO2_Lube_Emiss_t" localSheetId="5">#REF!</definedName>
    <definedName name="Total_CO2_Lube_Emiss_t" localSheetId="11">#REF!</definedName>
    <definedName name="Total_CO2_Lube_Emiss_t">#REF!</definedName>
    <definedName name="Total_CO2_SCR_Emiss_t" localSheetId="12">#REF!</definedName>
    <definedName name="Total_CO2_SCR_Emiss_t" localSheetId="5">#REF!</definedName>
    <definedName name="Total_CO2_SCR_Emiss_t" localSheetId="11">#REF!</definedName>
    <definedName name="Total_CO2_SCR_Emiss_t">#REF!</definedName>
    <definedName name="Total_FC_AC_Emiss_t" localSheetId="12">#REF!</definedName>
    <definedName name="Total_FC_AC_Emiss_t" localSheetId="5">#REF!</definedName>
    <definedName name="Total_FC_AC_Emiss_t" localSheetId="11">#REF!</definedName>
    <definedName name="Total_FC_AC_Emiss_t">#REF!</definedName>
    <definedName name="Total_N2O_Emiss_t" localSheetId="12">#REF!</definedName>
    <definedName name="Total_N2O_Emiss_t" localSheetId="5">#REF!</definedName>
    <definedName name="Total_N2O_Emiss_t" localSheetId="8">#REF!</definedName>
    <definedName name="Total_N2O_Emiss_t" localSheetId="7">#REF!</definedName>
    <definedName name="Total_N2O_Emiss_t" localSheetId="11">#REF!</definedName>
    <definedName name="Total_N2O_Emiss_t" localSheetId="17">#REF!</definedName>
    <definedName name="Total_N2O_Emiss_t">#REF!</definedName>
    <definedName name="U_CH4_Emiss_t" localSheetId="12">#REF!</definedName>
    <definedName name="U_CH4_Emiss_t" localSheetId="5">#REF!</definedName>
    <definedName name="U_CH4_Emiss_t" localSheetId="11">#REF!</definedName>
    <definedName name="U_CH4_Emiss_t">#REF!</definedName>
    <definedName name="U_CO2_AC_Emiss_t" localSheetId="12">#REF!</definedName>
    <definedName name="U_CO2_AC_Emiss_t" localSheetId="5">#REF!</definedName>
    <definedName name="U_CO2_AC_Emiss_t" localSheetId="11">#REF!</definedName>
    <definedName name="U_CO2_AC_Emiss_t">#REF!</definedName>
    <definedName name="U_CO2_Emiss_t" localSheetId="12">#REF!</definedName>
    <definedName name="U_CO2_Emiss_t" localSheetId="5">#REF!</definedName>
    <definedName name="U_CO2_Emiss_t" localSheetId="11">#REF!</definedName>
    <definedName name="U_CO2_Emiss_t">#REF!</definedName>
    <definedName name="U_CO2_Lube_Emiss_t" localSheetId="12">#REF!</definedName>
    <definedName name="U_CO2_Lube_Emiss_t" localSheetId="5">#REF!</definedName>
    <definedName name="U_CO2_Lube_Emiss_t" localSheetId="11">#REF!</definedName>
    <definedName name="U_CO2_Lube_Emiss_t">#REF!</definedName>
    <definedName name="U_CO2_SCR_Emiss_t" localSheetId="12">#REF!</definedName>
    <definedName name="U_CO2_SCR_Emiss_t" localSheetId="5">#REF!</definedName>
    <definedName name="U_CO2_SCR_Emiss_t" localSheetId="11">#REF!</definedName>
    <definedName name="U_CO2_SCR_Emiss_t">#REF!</definedName>
    <definedName name="U_FC_AC_Emiss_t" localSheetId="12">#REF!</definedName>
    <definedName name="U_FC_AC_Emiss_t" localSheetId="5">#REF!</definedName>
    <definedName name="U_FC_AC_Emiss_t" localSheetId="11">#REF!</definedName>
    <definedName name="U_FC_AC_Emiss_t">#REF!</definedName>
    <definedName name="U_FC_Emiss_t" localSheetId="12">#REF!</definedName>
    <definedName name="U_FC_Emiss_t" localSheetId="5">#REF!</definedName>
    <definedName name="U_FC_Emiss_t" localSheetId="11">#REF!</definedName>
    <definedName name="U_FC_Emiss_t">#REF!</definedName>
    <definedName name="U_N2O_Emiss_t" localSheetId="12">#REF!</definedName>
    <definedName name="U_N2O_Emiss_t" localSheetId="5">#REF!</definedName>
    <definedName name="U_N2O_Emiss_t" localSheetId="11">#REF!</definedName>
    <definedName name="U_N2O_Emiss_t">#REF!</definedName>
    <definedName name="U_Share_perc" localSheetId="12">#REF!</definedName>
    <definedName name="U_Share_perc" localSheetId="5">#REF!</definedName>
    <definedName name="U_Share_perc" localSheetId="11">#REF!</definedName>
    <definedName name="U_Share_perc">#REF!</definedName>
    <definedName name="U_Speed_km_per_h" localSheetId="12">#REF!</definedName>
    <definedName name="U_Speed_km_per_h" localSheetId="5">#REF!</definedName>
    <definedName name="U_Speed_km_per_h" localSheetId="11">#REF!</definedName>
    <definedName name="U_Speed_km_per_h">#REF!</definedName>
    <definedName name="VSTAK2050">'[1]Basic Information'!$B$9</definedName>
  </definedNames>
  <calcPr calcId="125725"/>
  <pivotCaches>
    <pivotCache cacheId="0" r:id="rId33"/>
    <pivotCache cacheId="1" r:id="rId34"/>
  </pivotCaches>
  <fileRecoveryPr repairLoad="1"/>
</workbook>
</file>

<file path=xl/calcChain.xml><?xml version="1.0" encoding="utf-8"?>
<calcChain xmlns="http://schemas.openxmlformats.org/spreadsheetml/2006/main">
  <c r="C25" i="26"/>
  <c r="D25"/>
  <c r="E25"/>
  <c r="F25"/>
  <c r="B25"/>
  <c r="B24"/>
  <c r="C24"/>
  <c r="D24"/>
  <c r="E24"/>
  <c r="F24"/>
  <c r="C23"/>
  <c r="D23"/>
  <c r="E23"/>
  <c r="F23"/>
  <c r="B23"/>
  <c r="F22"/>
  <c r="E22"/>
  <c r="D21"/>
  <c r="C21"/>
  <c r="E20"/>
  <c r="F20"/>
  <c r="E21"/>
  <c r="F21"/>
  <c r="E19"/>
  <c r="F19"/>
  <c r="E18"/>
  <c r="F18"/>
  <c r="F17"/>
  <c r="E17"/>
  <c r="C17"/>
  <c r="D17"/>
  <c r="B17"/>
  <c r="E16"/>
  <c r="F16"/>
  <c r="F15"/>
  <c r="E15"/>
  <c r="B15" i="27"/>
  <c r="C26" i="26"/>
  <c r="D26"/>
  <c r="C22"/>
  <c r="D22"/>
  <c r="B22"/>
  <c r="B16"/>
  <c r="C16"/>
  <c r="D16"/>
  <c r="B18"/>
  <c r="C18"/>
  <c r="D18"/>
  <c r="B19"/>
  <c r="C19"/>
  <c r="D19"/>
  <c r="B20"/>
  <c r="C20"/>
  <c r="D20"/>
  <c r="B21"/>
  <c r="C15"/>
  <c r="D15"/>
  <c r="B15"/>
  <c r="M60" i="7" l="1"/>
  <c r="M40"/>
  <c r="M20"/>
  <c r="M60" i="2"/>
  <c r="M40"/>
  <c r="M20"/>
  <c r="G13" i="22"/>
  <c r="H13"/>
  <c r="I13"/>
  <c r="J13"/>
  <c r="K13"/>
  <c r="L13"/>
  <c r="M13"/>
  <c r="N13"/>
  <c r="F13"/>
  <c r="S87"/>
  <c r="T87"/>
  <c r="U87" s="1"/>
  <c r="V87" s="1"/>
  <c r="W87" s="1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AM87" s="1"/>
  <c r="R87"/>
  <c r="W84"/>
  <c r="X84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AM84" s="1"/>
  <c r="V84"/>
  <c r="U84"/>
  <c r="N87"/>
  <c r="M86" l="1"/>
  <c r="M87" s="1"/>
  <c r="O87" s="1"/>
  <c r="P87" s="1"/>
  <c r="Q87" s="1"/>
  <c r="B21" i="27" l="1"/>
  <c r="D28" i="5" l="1"/>
  <c r="D29" s="1"/>
  <c r="E27" i="11"/>
  <c r="E54" i="4" s="1"/>
  <c r="E28" i="11"/>
  <c r="E55" i="4" s="1"/>
  <c r="E29" i="11"/>
  <c r="E56" i="4" s="1"/>
  <c r="F27" i="11"/>
  <c r="J54" i="4" s="1"/>
  <c r="F28" i="11"/>
  <c r="J55" i="4" s="1"/>
  <c r="F29" i="11"/>
  <c r="J56" i="4" s="1"/>
  <c r="G27" i="11"/>
  <c r="O54" i="4" s="1"/>
  <c r="G28" i="11"/>
  <c r="O55" i="4" s="1"/>
  <c r="G29" i="11"/>
  <c r="O56" i="4" s="1"/>
  <c r="H27" i="11"/>
  <c r="T54" i="4" s="1"/>
  <c r="H28" i="11"/>
  <c r="T55" i="4" s="1"/>
  <c r="H29" i="11"/>
  <c r="T56" i="4" s="1"/>
  <c r="E27" i="12"/>
  <c r="E54" i="6" s="1"/>
  <c r="E28" i="12"/>
  <c r="E55" i="6" s="1"/>
  <c r="E29" i="12"/>
  <c r="E56" i="6" s="1"/>
  <c r="F27" i="12"/>
  <c r="J54" i="6" s="1"/>
  <c r="F28" i="12"/>
  <c r="J55" i="6" s="1"/>
  <c r="F29" i="12"/>
  <c r="J56" i="6" s="1"/>
  <c r="G27" i="12"/>
  <c r="O54" i="6" s="1"/>
  <c r="G28" i="12"/>
  <c r="O55" i="6" s="1"/>
  <c r="G29" i="12"/>
  <c r="O56" i="6" s="1"/>
  <c r="H27" i="12"/>
  <c r="T54" i="6" s="1"/>
  <c r="H28" i="12"/>
  <c r="T55" i="6" s="1"/>
  <c r="H29" i="12"/>
  <c r="T56" i="6" s="1"/>
  <c r="E27" i="13"/>
  <c r="E54" i="5" s="1"/>
  <c r="E28" i="13"/>
  <c r="E55" i="5" s="1"/>
  <c r="E29" i="13"/>
  <c r="E56" i="5" s="1"/>
  <c r="F27" i="13"/>
  <c r="J54" i="5" s="1"/>
  <c r="F28" i="13"/>
  <c r="J55" i="5" s="1"/>
  <c r="F29" i="13"/>
  <c r="J56" i="5" s="1"/>
  <c r="G27" i="13"/>
  <c r="O54" i="5" s="1"/>
  <c r="G28" i="13"/>
  <c r="O55" i="5" s="1"/>
  <c r="G29" i="13"/>
  <c r="O56" i="5" s="1"/>
  <c r="H27" i="13"/>
  <c r="T54" i="5" s="1"/>
  <c r="H28" i="13"/>
  <c r="T55" i="5" s="1"/>
  <c r="H29" i="13"/>
  <c r="T56" i="5" s="1"/>
  <c r="E14" i="11"/>
  <c r="E41" i="4" s="1"/>
  <c r="E15" i="11"/>
  <c r="E42" i="4" s="1"/>
  <c r="E16" i="11"/>
  <c r="E43" i="4" s="1"/>
  <c r="E17" i="11"/>
  <c r="E44" i="4" s="1"/>
  <c r="F14" i="11"/>
  <c r="J41" i="4" s="1"/>
  <c r="F15" i="11"/>
  <c r="J42" i="4" s="1"/>
  <c r="F16" i="11"/>
  <c r="J43" i="4" s="1"/>
  <c r="F17" i="11"/>
  <c r="J44" i="4" s="1"/>
  <c r="G14" i="11"/>
  <c r="O41" i="4" s="1"/>
  <c r="G15" i="11"/>
  <c r="O42" i="4" s="1"/>
  <c r="G16" i="11"/>
  <c r="O43" i="4" s="1"/>
  <c r="G17" i="11"/>
  <c r="O44" i="4" s="1"/>
  <c r="H14" i="11"/>
  <c r="T41" i="4" s="1"/>
  <c r="H15" i="11"/>
  <c r="T42" i="4" s="1"/>
  <c r="H16" i="11"/>
  <c r="T43" i="4" s="1"/>
  <c r="H17" i="11"/>
  <c r="T44" i="4" s="1"/>
  <c r="E14" i="12"/>
  <c r="E41" i="6" s="1"/>
  <c r="E15" i="12"/>
  <c r="E42" i="6" s="1"/>
  <c r="E16" i="12"/>
  <c r="E43" i="6" s="1"/>
  <c r="E17" i="12"/>
  <c r="E44" i="6" s="1"/>
  <c r="F14" i="12"/>
  <c r="J41" i="6" s="1"/>
  <c r="F15" i="12"/>
  <c r="J42" i="6" s="1"/>
  <c r="F16" i="12"/>
  <c r="J43" i="6" s="1"/>
  <c r="F17" i="12"/>
  <c r="J44" i="6" s="1"/>
  <c r="G14" i="12"/>
  <c r="O41" i="6" s="1"/>
  <c r="G15" i="12"/>
  <c r="O42" i="6" s="1"/>
  <c r="G16" i="12"/>
  <c r="O43" i="6" s="1"/>
  <c r="G17" i="12"/>
  <c r="O44" i="6" s="1"/>
  <c r="H14" i="12"/>
  <c r="T41" i="6" s="1"/>
  <c r="H15" i="12"/>
  <c r="T42" i="6" s="1"/>
  <c r="H16" i="12"/>
  <c r="T43" i="6" s="1"/>
  <c r="H17" i="12"/>
  <c r="T44" i="6" s="1"/>
  <c r="H13" i="12"/>
  <c r="T40" i="6" s="1"/>
  <c r="E14" i="13"/>
  <c r="E41" i="5" s="1"/>
  <c r="E15" i="13"/>
  <c r="E42" i="5" s="1"/>
  <c r="E16" i="13"/>
  <c r="E43" i="5" s="1"/>
  <c r="E17" i="13"/>
  <c r="E44" i="5" s="1"/>
  <c r="F14" i="13"/>
  <c r="J41" i="5" s="1"/>
  <c r="F15" i="13"/>
  <c r="J42" i="5" s="1"/>
  <c r="F16" i="13"/>
  <c r="J43" i="5" s="1"/>
  <c r="F17" i="13"/>
  <c r="J44" i="5" s="1"/>
  <c r="G14" i="13"/>
  <c r="O41" i="5" s="1"/>
  <c r="G15" i="13"/>
  <c r="O42" i="5" s="1"/>
  <c r="G16" i="13"/>
  <c r="O43" i="5" s="1"/>
  <c r="G17" i="13"/>
  <c r="O44" i="5" s="1"/>
  <c r="H14" i="13"/>
  <c r="T41" i="5" s="1"/>
  <c r="H15" i="13"/>
  <c r="T42" i="5" s="1"/>
  <c r="H16" i="13"/>
  <c r="T43" i="5" s="1"/>
  <c r="H17" i="13"/>
  <c r="T44" i="5" s="1"/>
  <c r="D4" i="21"/>
  <c r="D10" s="1"/>
  <c r="J68" i="5" s="1"/>
  <c r="J69" i="4" s="1"/>
  <c r="E4" i="21"/>
  <c r="E10" s="1"/>
  <c r="O68" i="5" s="1"/>
  <c r="O69" i="4" s="1"/>
  <c r="F4" i="21"/>
  <c r="F10" s="1"/>
  <c r="T68" i="5" s="1"/>
  <c r="C3" i="21"/>
  <c r="C9" s="1"/>
  <c r="E68" i="6" s="1"/>
  <c r="D3" i="21"/>
  <c r="D9" s="1"/>
  <c r="J68" i="6" s="1"/>
  <c r="E3" i="21"/>
  <c r="E9" s="1"/>
  <c r="O68" i="6" s="1"/>
  <c r="O68" i="4" s="1"/>
  <c r="F3" i="21"/>
  <c r="F9" s="1"/>
  <c r="T68" i="6" s="1"/>
  <c r="T68" i="4" s="1"/>
  <c r="AA6" i="19"/>
  <c r="AE6" s="1"/>
  <c r="AA7"/>
  <c r="AA18"/>
  <c r="AA19"/>
  <c r="AA20"/>
  <c r="AA21"/>
  <c r="AB21" s="1"/>
  <c r="AA22"/>
  <c r="AA23"/>
  <c r="AA24"/>
  <c r="AA25"/>
  <c r="AA33"/>
  <c r="AE33" s="1"/>
  <c r="AA34"/>
  <c r="AA35"/>
  <c r="AA36"/>
  <c r="AE36" s="1"/>
  <c r="AA37"/>
  <c r="AA44"/>
  <c r="AE44" s="1"/>
  <c r="AA45"/>
  <c r="AA46"/>
  <c r="AE46" s="1"/>
  <c r="AA47"/>
  <c r="AE47" s="1"/>
  <c r="AA54"/>
  <c r="AE54" s="1"/>
  <c r="AA55"/>
  <c r="AE55" s="1"/>
  <c r="AA56"/>
  <c r="AE56" s="1"/>
  <c r="AA57"/>
  <c r="AE57" s="1"/>
  <c r="Q6"/>
  <c r="Q7"/>
  <c r="Q18"/>
  <c r="Q19"/>
  <c r="AD19" s="1"/>
  <c r="Q20"/>
  <c r="Q21"/>
  <c r="Q22"/>
  <c r="Q23"/>
  <c r="AD23" s="1"/>
  <c r="Q24"/>
  <c r="Q25"/>
  <c r="Q33"/>
  <c r="Q34"/>
  <c r="AD34" s="1"/>
  <c r="Q35"/>
  <c r="Q36"/>
  <c r="Q37"/>
  <c r="F25" i="29" s="1"/>
  <c r="F53" s="1"/>
  <c r="Q44" i="19"/>
  <c r="AD44" s="1"/>
  <c r="Q45"/>
  <c r="Q46"/>
  <c r="Q47"/>
  <c r="Q54"/>
  <c r="AD54" s="1"/>
  <c r="Q55"/>
  <c r="Q56"/>
  <c r="Q57"/>
  <c r="P6"/>
  <c r="P7"/>
  <c r="P18"/>
  <c r="P19"/>
  <c r="P20"/>
  <c r="E4" i="29" s="1"/>
  <c r="E32" s="1"/>
  <c r="P21" i="19"/>
  <c r="P22"/>
  <c r="P23"/>
  <c r="P24"/>
  <c r="E18" i="29" s="1"/>
  <c r="E46" s="1"/>
  <c r="P25" i="19"/>
  <c r="P33"/>
  <c r="O33" s="1"/>
  <c r="P34"/>
  <c r="O34" s="1"/>
  <c r="AC35"/>
  <c r="P36"/>
  <c r="P37"/>
  <c r="P44"/>
  <c r="AC44" s="1"/>
  <c r="P45"/>
  <c r="E7" i="29" s="1"/>
  <c r="E35" s="1"/>
  <c r="P47" i="19"/>
  <c r="P54"/>
  <c r="P55"/>
  <c r="P56"/>
  <c r="E9" i="29" s="1"/>
  <c r="E37" s="1"/>
  <c r="P57" i="19"/>
  <c r="O6"/>
  <c r="O7"/>
  <c r="AB7" s="1"/>
  <c r="AB19"/>
  <c r="AB23"/>
  <c r="O25"/>
  <c r="O36"/>
  <c r="T36" s="1"/>
  <c r="I24" i="29" s="1"/>
  <c r="I52" s="1"/>
  <c r="O37" i="19"/>
  <c r="T37" s="1"/>
  <c r="I25" i="29" s="1"/>
  <c r="I53" s="1"/>
  <c r="O44" i="19"/>
  <c r="AB44" s="1"/>
  <c r="O45"/>
  <c r="O47"/>
  <c r="AB54"/>
  <c r="O55"/>
  <c r="O57"/>
  <c r="Z6"/>
  <c r="Z7"/>
  <c r="Z18"/>
  <c r="Z19"/>
  <c r="Z20"/>
  <c r="Z21"/>
  <c r="Z22"/>
  <c r="Z23"/>
  <c r="Z24"/>
  <c r="Z25"/>
  <c r="Z33"/>
  <c r="Z34"/>
  <c r="Z35"/>
  <c r="Z36"/>
  <c r="Z37"/>
  <c r="Z44"/>
  <c r="Z45"/>
  <c r="Z46"/>
  <c r="Z47"/>
  <c r="Z54"/>
  <c r="Z55"/>
  <c r="Z56"/>
  <c r="Z57"/>
  <c r="U6"/>
  <c r="Y6" s="1"/>
  <c r="U7"/>
  <c r="V7" s="1"/>
  <c r="U18"/>
  <c r="Y18" s="1"/>
  <c r="U19"/>
  <c r="U20"/>
  <c r="Y20" s="1"/>
  <c r="U21"/>
  <c r="V21" s="1"/>
  <c r="U22"/>
  <c r="Y22" s="1"/>
  <c r="U23"/>
  <c r="U24"/>
  <c r="Y24" s="1"/>
  <c r="U25"/>
  <c r="U33"/>
  <c r="Y33" s="1"/>
  <c r="U34"/>
  <c r="U35"/>
  <c r="Y35" s="1"/>
  <c r="U36"/>
  <c r="U37"/>
  <c r="Y37" s="1"/>
  <c r="U44"/>
  <c r="U45"/>
  <c r="Y45" s="1"/>
  <c r="U46"/>
  <c r="V46" s="1"/>
  <c r="U47"/>
  <c r="Y47" s="1"/>
  <c r="U54"/>
  <c r="Y54" s="1"/>
  <c r="U55"/>
  <c r="Y55" s="1"/>
  <c r="U56"/>
  <c r="Y56" s="1"/>
  <c r="U57"/>
  <c r="Y57" s="1"/>
  <c r="X6"/>
  <c r="X20"/>
  <c r="X24"/>
  <c r="X35"/>
  <c r="X55"/>
  <c r="W20"/>
  <c r="W35"/>
  <c r="W37"/>
  <c r="V6"/>
  <c r="V19"/>
  <c r="V20"/>
  <c r="V23"/>
  <c r="V24"/>
  <c r="V33"/>
  <c r="V35"/>
  <c r="V54"/>
  <c r="V55"/>
  <c r="G31" i="5"/>
  <c r="H31"/>
  <c r="I31"/>
  <c r="J31"/>
  <c r="K31"/>
  <c r="L31"/>
  <c r="M31"/>
  <c r="N31"/>
  <c r="O31"/>
  <c r="P31"/>
  <c r="Q31"/>
  <c r="R31"/>
  <c r="S31"/>
  <c r="T31"/>
  <c r="F31"/>
  <c r="R31" i="6"/>
  <c r="S31"/>
  <c r="G31"/>
  <c r="H31"/>
  <c r="I31"/>
  <c r="J31"/>
  <c r="K31"/>
  <c r="L31"/>
  <c r="M31"/>
  <c r="N31"/>
  <c r="O31"/>
  <c r="P31"/>
  <c r="Q31"/>
  <c r="F31"/>
  <c r="C4" i="21"/>
  <c r="G4"/>
  <c r="G5" s="1"/>
  <c r="H4"/>
  <c r="H10" s="1"/>
  <c r="V68" i="5" s="1"/>
  <c r="I4" i="21"/>
  <c r="J4"/>
  <c r="J10" s="1"/>
  <c r="X68" i="5" s="1"/>
  <c r="X69" i="4" s="1"/>
  <c r="B4" i="21"/>
  <c r="G3"/>
  <c r="H3"/>
  <c r="I3"/>
  <c r="I9" s="1"/>
  <c r="W68" i="6" s="1"/>
  <c r="W68" i="4" s="1"/>
  <c r="J3" i="21"/>
  <c r="J9" s="1"/>
  <c r="X68" i="6" s="1"/>
  <c r="X68" i="4" s="1"/>
  <c r="B3" i="21"/>
  <c r="J2"/>
  <c r="I2"/>
  <c r="H2"/>
  <c r="G2"/>
  <c r="F2"/>
  <c r="E2"/>
  <c r="D2"/>
  <c r="C2"/>
  <c r="B2"/>
  <c r="E7" i="13"/>
  <c r="E34" i="5" s="1"/>
  <c r="E8" i="13"/>
  <c r="E35" i="5" s="1"/>
  <c r="E9" i="13"/>
  <c r="E36" i="5" s="1"/>
  <c r="E11" i="13"/>
  <c r="E38" i="5" s="1"/>
  <c r="E12" i="13"/>
  <c r="E39" i="5"/>
  <c r="E20" i="13"/>
  <c r="E47" i="5" s="1"/>
  <c r="E21" i="13"/>
  <c r="E48" i="5" s="1"/>
  <c r="E23" i="13"/>
  <c r="E50" i="5" s="1"/>
  <c r="E24" i="13"/>
  <c r="E51" i="5" s="1"/>
  <c r="E25" i="13"/>
  <c r="E52" i="5" s="1"/>
  <c r="E31" i="13"/>
  <c r="E58" i="5" s="1"/>
  <c r="E32" i="13"/>
  <c r="E59" i="5" s="1"/>
  <c r="E33" i="13"/>
  <c r="E60" i="5" s="1"/>
  <c r="L36" i="13"/>
  <c r="K36"/>
  <c r="J36"/>
  <c r="I36"/>
  <c r="H36"/>
  <c r="G36"/>
  <c r="F36"/>
  <c r="E36"/>
  <c r="L34"/>
  <c r="K34"/>
  <c r="J34"/>
  <c r="I34"/>
  <c r="H34"/>
  <c r="G34"/>
  <c r="F34"/>
  <c r="E34"/>
  <c r="L33"/>
  <c r="K33"/>
  <c r="W60" i="5" s="1"/>
  <c r="J33" i="13"/>
  <c r="I33"/>
  <c r="U60" i="5" s="1"/>
  <c r="H33" i="13"/>
  <c r="T60" i="5" s="1"/>
  <c r="G33" i="13"/>
  <c r="O60" i="5" s="1"/>
  <c r="F33" i="13"/>
  <c r="L32"/>
  <c r="X59" i="5" s="1"/>
  <c r="K32" i="13"/>
  <c r="W59" i="5" s="1"/>
  <c r="J32" i="13"/>
  <c r="I32"/>
  <c r="H32"/>
  <c r="T59" i="5" s="1"/>
  <c r="G32" i="13"/>
  <c r="O59" i="5" s="1"/>
  <c r="F32" i="13"/>
  <c r="L31"/>
  <c r="K31"/>
  <c r="W58" i="5" s="1"/>
  <c r="J31" i="13"/>
  <c r="V58" i="5" s="1"/>
  <c r="I31" i="13"/>
  <c r="U58" i="5" s="1"/>
  <c r="H31" i="13"/>
  <c r="G31"/>
  <c r="O58" i="5" s="1"/>
  <c r="F31" i="13"/>
  <c r="J58" i="5" s="1"/>
  <c r="L30" i="13"/>
  <c r="K30"/>
  <c r="J30"/>
  <c r="I30"/>
  <c r="H30"/>
  <c r="G30"/>
  <c r="F30"/>
  <c r="E30"/>
  <c r="L29"/>
  <c r="K29"/>
  <c r="J29"/>
  <c r="I29"/>
  <c r="L28"/>
  <c r="K28"/>
  <c r="J28"/>
  <c r="I28"/>
  <c r="L27"/>
  <c r="K27"/>
  <c r="J27"/>
  <c r="I27"/>
  <c r="L26"/>
  <c r="K26"/>
  <c r="J26"/>
  <c r="I26"/>
  <c r="H26"/>
  <c r="G26"/>
  <c r="F26"/>
  <c r="E26"/>
  <c r="L25"/>
  <c r="K25"/>
  <c r="J25"/>
  <c r="V52" i="5" s="1"/>
  <c r="I25" i="13"/>
  <c r="U52" i="5" s="1"/>
  <c r="H25" i="13"/>
  <c r="T52" i="5" s="1"/>
  <c r="G25" i="13"/>
  <c r="F25"/>
  <c r="J52" i="5" s="1"/>
  <c r="L24" i="13"/>
  <c r="X51" i="5" s="1"/>
  <c r="K24" i="13"/>
  <c r="W51" i="5" s="1"/>
  <c r="J24" i="13"/>
  <c r="I24"/>
  <c r="U51" i="5" s="1"/>
  <c r="H24" i="13"/>
  <c r="T51" i="5" s="1"/>
  <c r="G24" i="13"/>
  <c r="O51" i="5" s="1"/>
  <c r="F24" i="13"/>
  <c r="L23"/>
  <c r="X50" i="5" s="1"/>
  <c r="K23" i="13"/>
  <c r="W50" i="5" s="1"/>
  <c r="J23" i="13"/>
  <c r="I23"/>
  <c r="H23"/>
  <c r="T50" i="5" s="1"/>
  <c r="G23" i="13"/>
  <c r="O50" i="5" s="1"/>
  <c r="F23" i="13"/>
  <c r="L22"/>
  <c r="K22"/>
  <c r="W49" i="5" s="1"/>
  <c r="J22" i="13"/>
  <c r="V49" i="5" s="1"/>
  <c r="I22" i="13"/>
  <c r="H22"/>
  <c r="G22"/>
  <c r="F22"/>
  <c r="E22"/>
  <c r="L21"/>
  <c r="K21"/>
  <c r="W48" i="5" s="1"/>
  <c r="J21" i="13"/>
  <c r="V48" i="5" s="1"/>
  <c r="I21" i="13"/>
  <c r="U48" i="5" s="1"/>
  <c r="H21" i="13"/>
  <c r="G21"/>
  <c r="O48" i="5" s="1"/>
  <c r="F21" i="13"/>
  <c r="L20"/>
  <c r="K20"/>
  <c r="J20"/>
  <c r="I20"/>
  <c r="U47" i="5" s="1"/>
  <c r="H20" i="13"/>
  <c r="T47" i="5" s="1"/>
  <c r="G20" i="13"/>
  <c r="F20"/>
  <c r="J47" i="5" s="1"/>
  <c r="L19" i="13"/>
  <c r="X46" i="5" s="1"/>
  <c r="K19" i="13"/>
  <c r="W46" i="5" s="1"/>
  <c r="J19" i="13"/>
  <c r="I19"/>
  <c r="U46" i="5" s="1"/>
  <c r="H19" i="13"/>
  <c r="G19"/>
  <c r="F19"/>
  <c r="E19"/>
  <c r="L18"/>
  <c r="K18"/>
  <c r="W45" i="5" s="1"/>
  <c r="J18" i="13"/>
  <c r="I18"/>
  <c r="U45" i="5" s="1"/>
  <c r="H18" i="13"/>
  <c r="G18"/>
  <c r="F18"/>
  <c r="E18"/>
  <c r="L17"/>
  <c r="X44" i="5" s="1"/>
  <c r="K17" i="13"/>
  <c r="W44" i="5" s="1"/>
  <c r="J17" i="13"/>
  <c r="I17"/>
  <c r="U44" i="5" s="1"/>
  <c r="L16" i="13"/>
  <c r="X43" i="5" s="1"/>
  <c r="K16" i="13"/>
  <c r="W43" i="5" s="1"/>
  <c r="J16" i="13"/>
  <c r="I16"/>
  <c r="U43" i="5" s="1"/>
  <c r="L15" i="13"/>
  <c r="K15"/>
  <c r="W42" i="5" s="1"/>
  <c r="J15" i="13"/>
  <c r="I15"/>
  <c r="U42" i="5" s="1"/>
  <c r="L14" i="13"/>
  <c r="X41" i="5" s="1"/>
  <c r="K14" i="13"/>
  <c r="J14"/>
  <c r="I14"/>
  <c r="U41" i="5" s="1"/>
  <c r="L13" i="13"/>
  <c r="X40" i="5" s="1"/>
  <c r="K13" i="13"/>
  <c r="J13"/>
  <c r="I13"/>
  <c r="U40" i="5" s="1"/>
  <c r="H13" i="13"/>
  <c r="G13"/>
  <c r="F13"/>
  <c r="E13"/>
  <c r="L12"/>
  <c r="X39" i="5" s="1"/>
  <c r="K12" i="13"/>
  <c r="J12"/>
  <c r="I12"/>
  <c r="U39" i="5" s="1"/>
  <c r="H12" i="13"/>
  <c r="T39" i="5" s="1"/>
  <c r="G12" i="13"/>
  <c r="O39" i="5" s="1"/>
  <c r="F12" i="13"/>
  <c r="L11"/>
  <c r="X38" i="5" s="1"/>
  <c r="K11" i="13"/>
  <c r="W38" i="5" s="1"/>
  <c r="J11" i="13"/>
  <c r="I11"/>
  <c r="H11"/>
  <c r="L38" i="5" s="1"/>
  <c r="L37" s="1"/>
  <c r="G11" i="13"/>
  <c r="K38" i="5" s="1"/>
  <c r="K37" s="1"/>
  <c r="F11" i="13"/>
  <c r="J38" i="5" s="1"/>
  <c r="L10" i="13"/>
  <c r="K10"/>
  <c r="W37" i="5" s="1"/>
  <c r="J10" i="13"/>
  <c r="V37" i="5" s="1"/>
  <c r="I10" i="13"/>
  <c r="U37" i="5" s="1"/>
  <c r="H10" i="13"/>
  <c r="G10"/>
  <c r="F10"/>
  <c r="E10"/>
  <c r="L9"/>
  <c r="K9"/>
  <c r="W36" i="5" s="1"/>
  <c r="J9" i="13"/>
  <c r="I9"/>
  <c r="H9"/>
  <c r="G9"/>
  <c r="O36" i="5" s="1"/>
  <c r="F9" i="13"/>
  <c r="J36" i="5" s="1"/>
  <c r="L8" i="13"/>
  <c r="K8"/>
  <c r="J8"/>
  <c r="V35" i="5" s="1"/>
  <c r="I8" i="13"/>
  <c r="H8"/>
  <c r="T35" i="5" s="1"/>
  <c r="G8" i="13"/>
  <c r="F8"/>
  <c r="J35" i="5" s="1"/>
  <c r="L7" i="13"/>
  <c r="X34" i="5" s="1"/>
  <c r="K7" i="13"/>
  <c r="J7"/>
  <c r="I7"/>
  <c r="H7"/>
  <c r="T34" i="5" s="1"/>
  <c r="G7" i="13"/>
  <c r="O34" i="5" s="1"/>
  <c r="F7" i="13"/>
  <c r="L6"/>
  <c r="X33" i="5" s="1"/>
  <c r="K6" i="13"/>
  <c r="W33" i="5" s="1"/>
  <c r="J6" i="13"/>
  <c r="V33" i="5" s="1"/>
  <c r="I6" i="13"/>
  <c r="H6"/>
  <c r="T33" i="5" s="1"/>
  <c r="G6" i="13"/>
  <c r="F6"/>
  <c r="E6"/>
  <c r="L5"/>
  <c r="X32" i="5" s="1"/>
  <c r="K5" i="13"/>
  <c r="W32" i="5" s="1"/>
  <c r="J5" i="13"/>
  <c r="I5"/>
  <c r="H5"/>
  <c r="G5"/>
  <c r="F5"/>
  <c r="E5"/>
  <c r="L36" i="12"/>
  <c r="K36"/>
  <c r="J36"/>
  <c r="I36"/>
  <c r="H36"/>
  <c r="G36"/>
  <c r="F36"/>
  <c r="E36"/>
  <c r="L34"/>
  <c r="K34"/>
  <c r="J34"/>
  <c r="I34"/>
  <c r="H34"/>
  <c r="G34"/>
  <c r="F34"/>
  <c r="E34"/>
  <c r="L33"/>
  <c r="X60" i="6" s="1"/>
  <c r="K33" i="12"/>
  <c r="J33"/>
  <c r="I33"/>
  <c r="H33"/>
  <c r="T60" i="6" s="1"/>
  <c r="G33" i="12"/>
  <c r="F33"/>
  <c r="E33"/>
  <c r="L32"/>
  <c r="X59" i="6" s="1"/>
  <c r="K32" i="12"/>
  <c r="W59" i="6" s="1"/>
  <c r="J32" i="12"/>
  <c r="I32"/>
  <c r="H32"/>
  <c r="T59" i="6" s="1"/>
  <c r="G32" i="12"/>
  <c r="O59" i="6" s="1"/>
  <c r="F32" i="12"/>
  <c r="E32"/>
  <c r="L31"/>
  <c r="X58" i="6" s="1"/>
  <c r="K31" i="12"/>
  <c r="W58" i="6" s="1"/>
  <c r="J31" i="12"/>
  <c r="I31"/>
  <c r="H31"/>
  <c r="T58" i="6" s="1"/>
  <c r="G31" i="12"/>
  <c r="O58" i="6" s="1"/>
  <c r="F31" i="12"/>
  <c r="E31"/>
  <c r="L30"/>
  <c r="K30"/>
  <c r="J30"/>
  <c r="I30"/>
  <c r="H30"/>
  <c r="G30"/>
  <c r="F30"/>
  <c r="E30"/>
  <c r="L29"/>
  <c r="X56" i="6" s="1"/>
  <c r="K29" i="12"/>
  <c r="J29"/>
  <c r="I29"/>
  <c r="L28"/>
  <c r="X55" i="6" s="1"/>
  <c r="K28" i="12"/>
  <c r="W55" i="6" s="1"/>
  <c r="J28" i="12"/>
  <c r="I28"/>
  <c r="L27"/>
  <c r="X54" i="6" s="1"/>
  <c r="X53" s="1"/>
  <c r="K27" i="12"/>
  <c r="W54" i="6" s="1"/>
  <c r="J27" i="12"/>
  <c r="I27"/>
  <c r="L26"/>
  <c r="K26"/>
  <c r="J26"/>
  <c r="I26"/>
  <c r="H26"/>
  <c r="G26"/>
  <c r="F26"/>
  <c r="E26"/>
  <c r="L25"/>
  <c r="X52" i="6" s="1"/>
  <c r="K25" i="12"/>
  <c r="W52" i="6" s="1"/>
  <c r="J25" i="12"/>
  <c r="I25"/>
  <c r="H25"/>
  <c r="T52" i="6" s="1"/>
  <c r="G25" i="12"/>
  <c r="O52" i="6" s="1"/>
  <c r="F25" i="12"/>
  <c r="J52" i="6" s="1"/>
  <c r="E25" i="12"/>
  <c r="L24"/>
  <c r="X51" i="6" s="1"/>
  <c r="K24" i="12"/>
  <c r="J24"/>
  <c r="I24"/>
  <c r="H24"/>
  <c r="T51" i="6" s="1"/>
  <c r="G24" i="12"/>
  <c r="F24"/>
  <c r="J51" i="6" s="1"/>
  <c r="E24" i="12"/>
  <c r="L23"/>
  <c r="X50" i="6" s="1"/>
  <c r="K23" i="12"/>
  <c r="W50" i="6" s="1"/>
  <c r="J23" i="12"/>
  <c r="I23"/>
  <c r="H23"/>
  <c r="T50" i="6" s="1"/>
  <c r="G23" i="12"/>
  <c r="O50" i="6" s="1"/>
  <c r="F23" i="12"/>
  <c r="E23"/>
  <c r="L22"/>
  <c r="X49" i="6" s="1"/>
  <c r="K22" i="12"/>
  <c r="W49" i="6" s="1"/>
  <c r="J22" i="12"/>
  <c r="I22"/>
  <c r="H22"/>
  <c r="G22"/>
  <c r="F22"/>
  <c r="E22"/>
  <c r="L21"/>
  <c r="X48" i="6" s="1"/>
  <c r="K21" i="12"/>
  <c r="W48" i="6" s="1"/>
  <c r="J21" i="12"/>
  <c r="I21"/>
  <c r="H21"/>
  <c r="T48" i="6" s="1"/>
  <c r="G21" i="12"/>
  <c r="O48" i="6" s="1"/>
  <c r="F21" i="12"/>
  <c r="E21"/>
  <c r="L20"/>
  <c r="X47" i="6" s="1"/>
  <c r="K20" i="12"/>
  <c r="J20"/>
  <c r="I20"/>
  <c r="H20"/>
  <c r="T47" i="6" s="1"/>
  <c r="G20" i="12"/>
  <c r="O47" i="6" s="1"/>
  <c r="F20" i="12"/>
  <c r="J47" i="6" s="1"/>
  <c r="E20" i="12"/>
  <c r="L19"/>
  <c r="X46" i="6" s="1"/>
  <c r="K19" i="12"/>
  <c r="W46" i="6" s="1"/>
  <c r="J19" i="12"/>
  <c r="I19"/>
  <c r="H19"/>
  <c r="G19"/>
  <c r="F19"/>
  <c r="E19"/>
  <c r="L18"/>
  <c r="X45" i="6" s="1"/>
  <c r="K18" i="12"/>
  <c r="W45" i="6" s="1"/>
  <c r="J18" i="12"/>
  <c r="I18"/>
  <c r="H18"/>
  <c r="G18"/>
  <c r="F18"/>
  <c r="E18"/>
  <c r="L17"/>
  <c r="X44" i="6" s="1"/>
  <c r="K17" i="12"/>
  <c r="W44" i="6" s="1"/>
  <c r="J17" i="12"/>
  <c r="I17"/>
  <c r="L16"/>
  <c r="X43" i="6" s="1"/>
  <c r="K16" i="12"/>
  <c r="J16"/>
  <c r="I16"/>
  <c r="L15"/>
  <c r="X42" i="6" s="1"/>
  <c r="K15" i="12"/>
  <c r="W42" i="6" s="1"/>
  <c r="J15" i="12"/>
  <c r="I15"/>
  <c r="L14"/>
  <c r="X41" i="6" s="1"/>
  <c r="K14" i="12"/>
  <c r="W41" i="6" s="1"/>
  <c r="J14" i="12"/>
  <c r="I14"/>
  <c r="L13"/>
  <c r="X40" i="6" s="1"/>
  <c r="K13" i="12"/>
  <c r="W40" i="6" s="1"/>
  <c r="J13" i="12"/>
  <c r="I13"/>
  <c r="G13"/>
  <c r="F13"/>
  <c r="E13"/>
  <c r="L12"/>
  <c r="K12"/>
  <c r="J12"/>
  <c r="V39" i="6" s="1"/>
  <c r="I12" i="12"/>
  <c r="H12"/>
  <c r="G12"/>
  <c r="O39" i="6" s="1"/>
  <c r="F12" i="12"/>
  <c r="J39" i="6" s="1"/>
  <c r="E12" i="12"/>
  <c r="E39" i="6" s="1"/>
  <c r="L11" i="12"/>
  <c r="K11"/>
  <c r="W38" i="6" s="1"/>
  <c r="J11" i="12"/>
  <c r="V38" i="6" s="1"/>
  <c r="I11" i="12"/>
  <c r="H11"/>
  <c r="G11"/>
  <c r="O38" i="6" s="1"/>
  <c r="F11" i="12"/>
  <c r="E11"/>
  <c r="L10"/>
  <c r="K10"/>
  <c r="W37" i="6" s="1"/>
  <c r="J10" i="12"/>
  <c r="I10"/>
  <c r="H10"/>
  <c r="G10"/>
  <c r="F10"/>
  <c r="E10"/>
  <c r="L9"/>
  <c r="K9"/>
  <c r="W36" i="6" s="1"/>
  <c r="J9" i="12"/>
  <c r="V36" i="6" s="1"/>
  <c r="I9" i="12"/>
  <c r="H9"/>
  <c r="G9"/>
  <c r="O36" i="6" s="1"/>
  <c r="F9" i="12"/>
  <c r="J36" i="6" s="1"/>
  <c r="E9" i="12"/>
  <c r="L8"/>
  <c r="K8"/>
  <c r="W35" i="6" s="1"/>
  <c r="J8" i="12"/>
  <c r="V35" i="6" s="1"/>
  <c r="I8" i="12"/>
  <c r="H8"/>
  <c r="G8"/>
  <c r="O35" i="6" s="1"/>
  <c r="F8" i="12"/>
  <c r="J35" i="6" s="1"/>
  <c r="E8" i="12"/>
  <c r="E35" i="6" s="1"/>
  <c r="L7" i="12"/>
  <c r="K7"/>
  <c r="W34" i="6" s="1"/>
  <c r="J7" i="12"/>
  <c r="V34" i="6" s="1"/>
  <c r="I7" i="12"/>
  <c r="H7"/>
  <c r="G7"/>
  <c r="F7"/>
  <c r="J34" i="6" s="1"/>
  <c r="E7" i="12"/>
  <c r="E34" i="6" s="1"/>
  <c r="L6" i="12"/>
  <c r="K6"/>
  <c r="W33" i="6" s="1"/>
  <c r="J6" i="12"/>
  <c r="I6"/>
  <c r="H6"/>
  <c r="G6"/>
  <c r="F6"/>
  <c r="E6"/>
  <c r="L5"/>
  <c r="K5"/>
  <c r="W32" i="6" s="1"/>
  <c r="J5" i="12"/>
  <c r="V32" i="6" s="1"/>
  <c r="I5" i="12"/>
  <c r="H5"/>
  <c r="G5"/>
  <c r="F5"/>
  <c r="E5"/>
  <c r="L33" i="11"/>
  <c r="K33"/>
  <c r="W60" i="4" s="1"/>
  <c r="J33" i="11"/>
  <c r="V60" i="4" s="1"/>
  <c r="I33" i="11"/>
  <c r="H33"/>
  <c r="G33"/>
  <c r="O60" i="4" s="1"/>
  <c r="F33" i="11"/>
  <c r="E33"/>
  <c r="L32"/>
  <c r="K32"/>
  <c r="W59" i="4" s="1"/>
  <c r="J32" i="11"/>
  <c r="V59" i="4" s="1"/>
  <c r="I32" i="11"/>
  <c r="U59" i="4" s="1"/>
  <c r="H32" i="11"/>
  <c r="G32"/>
  <c r="O59" i="4" s="1"/>
  <c r="F32" i="11"/>
  <c r="J59" i="4" s="1"/>
  <c r="E32" i="11"/>
  <c r="L31"/>
  <c r="K31"/>
  <c r="W58" i="4" s="1"/>
  <c r="W57" s="1"/>
  <c r="J31" i="11"/>
  <c r="I31"/>
  <c r="U58" i="4" s="1"/>
  <c r="H31" i="11"/>
  <c r="G31"/>
  <c r="O58" i="4" s="1"/>
  <c r="F31" i="11"/>
  <c r="J58" i="4" s="1"/>
  <c r="E31" i="11"/>
  <c r="E58" i="4" s="1"/>
  <c r="L30" i="11"/>
  <c r="K30"/>
  <c r="J30"/>
  <c r="I30"/>
  <c r="H30"/>
  <c r="G30"/>
  <c r="F30"/>
  <c r="E30"/>
  <c r="L29"/>
  <c r="K29"/>
  <c r="W56" i="4" s="1"/>
  <c r="J29" i="11"/>
  <c r="V56" i="4" s="1"/>
  <c r="I29" i="11"/>
  <c r="U56" i="4" s="1"/>
  <c r="L28" i="11"/>
  <c r="K28"/>
  <c r="W55" i="4" s="1"/>
  <c r="J28" i="11"/>
  <c r="I28"/>
  <c r="U55" i="4" s="1"/>
  <c r="L27" i="11"/>
  <c r="K27"/>
  <c r="W54" i="4" s="1"/>
  <c r="J27" i="11"/>
  <c r="V54" i="4" s="1"/>
  <c r="I27" i="11"/>
  <c r="L26"/>
  <c r="K26"/>
  <c r="J26"/>
  <c r="I26"/>
  <c r="H26"/>
  <c r="G26"/>
  <c r="F26"/>
  <c r="E26"/>
  <c r="L25"/>
  <c r="K25"/>
  <c r="J25"/>
  <c r="V52" i="4" s="1"/>
  <c r="I25" i="11"/>
  <c r="H25"/>
  <c r="G25"/>
  <c r="O52" i="4" s="1"/>
  <c r="F25" i="11"/>
  <c r="J52" i="4" s="1"/>
  <c r="E25" i="11"/>
  <c r="L24"/>
  <c r="K24"/>
  <c r="W51" i="4" s="1"/>
  <c r="J24" i="11"/>
  <c r="V51" i="4" s="1"/>
  <c r="I24" i="11"/>
  <c r="H24"/>
  <c r="G24"/>
  <c r="O51" i="4" s="1"/>
  <c r="F24" i="11"/>
  <c r="J51" i="4" s="1"/>
  <c r="E24" i="11"/>
  <c r="E51" i="4" s="1"/>
  <c r="L23" i="11"/>
  <c r="K23"/>
  <c r="W50" i="4" s="1"/>
  <c r="J23" i="11"/>
  <c r="I23"/>
  <c r="U50" i="4" s="1"/>
  <c r="H23" i="11"/>
  <c r="G23"/>
  <c r="O50" i="4" s="1"/>
  <c r="F23" i="11"/>
  <c r="J50" i="4" s="1"/>
  <c r="E23" i="11"/>
  <c r="L22"/>
  <c r="K22"/>
  <c r="W49" i="4" s="1"/>
  <c r="J22" i="11"/>
  <c r="V49" i="4" s="1"/>
  <c r="I22" i="11"/>
  <c r="H22"/>
  <c r="G22"/>
  <c r="F22"/>
  <c r="E22"/>
  <c r="L21"/>
  <c r="K21"/>
  <c r="W48" i="4" s="1"/>
  <c r="J21" i="11"/>
  <c r="V48" i="4" s="1"/>
  <c r="I21" i="11"/>
  <c r="H21"/>
  <c r="G21"/>
  <c r="F21"/>
  <c r="E21"/>
  <c r="L20"/>
  <c r="K20"/>
  <c r="W47" i="4" s="1"/>
  <c r="J20" i="11"/>
  <c r="V47" i="4" s="1"/>
  <c r="I20" i="11"/>
  <c r="H20"/>
  <c r="G20"/>
  <c r="O47" i="4" s="1"/>
  <c r="F20" i="11"/>
  <c r="J47" i="4" s="1"/>
  <c r="E20" i="11"/>
  <c r="E47" i="4" s="1"/>
  <c r="L19" i="11"/>
  <c r="K19"/>
  <c r="J19"/>
  <c r="V46" i="4" s="1"/>
  <c r="I19" i="11"/>
  <c r="H19"/>
  <c r="G19"/>
  <c r="F19"/>
  <c r="E19"/>
  <c r="L18"/>
  <c r="K18"/>
  <c r="W45" i="4" s="1"/>
  <c r="J18" i="11"/>
  <c r="V45" i="4" s="1"/>
  <c r="I18" i="11"/>
  <c r="H18"/>
  <c r="G18"/>
  <c r="F18"/>
  <c r="E18"/>
  <c r="L17"/>
  <c r="K17"/>
  <c r="W44" i="4" s="1"/>
  <c r="J17" i="11"/>
  <c r="V44" i="4" s="1"/>
  <c r="I17" i="11"/>
  <c r="L16"/>
  <c r="K16"/>
  <c r="J16"/>
  <c r="I16"/>
  <c r="L15"/>
  <c r="K15"/>
  <c r="W42" i="4" s="1"/>
  <c r="J15" i="11"/>
  <c r="V42" i="4" s="1"/>
  <c r="I15" i="11"/>
  <c r="L14"/>
  <c r="K14"/>
  <c r="W41" i="4" s="1"/>
  <c r="J14" i="11"/>
  <c r="V41" i="4" s="1"/>
  <c r="I14" i="11"/>
  <c r="L13"/>
  <c r="K13"/>
  <c r="W40" i="4" s="1"/>
  <c r="J13" i="11"/>
  <c r="V40" i="4" s="1"/>
  <c r="I13" i="11"/>
  <c r="H13"/>
  <c r="G13"/>
  <c r="F13"/>
  <c r="E13"/>
  <c r="L12"/>
  <c r="K12"/>
  <c r="W39" i="4" s="1"/>
  <c r="J12" i="11"/>
  <c r="I12"/>
  <c r="H12"/>
  <c r="T39" i="4" s="1"/>
  <c r="G12" i="11"/>
  <c r="O39" i="4" s="1"/>
  <c r="F12" i="11"/>
  <c r="J39" i="4" s="1"/>
  <c r="E12" i="11"/>
  <c r="L11"/>
  <c r="K11"/>
  <c r="W38" i="4" s="1"/>
  <c r="J11" i="11"/>
  <c r="I11"/>
  <c r="H11"/>
  <c r="G11"/>
  <c r="O38" i="4" s="1"/>
  <c r="F11" i="11"/>
  <c r="J38" i="4" s="1"/>
  <c r="E11" i="11"/>
  <c r="L10"/>
  <c r="K10"/>
  <c r="W37" i="4" s="1"/>
  <c r="J10" i="11"/>
  <c r="V37" i="4" s="1"/>
  <c r="I10" i="11"/>
  <c r="U37" i="4" s="1"/>
  <c r="H10" i="11"/>
  <c r="G10"/>
  <c r="F10"/>
  <c r="E10"/>
  <c r="L9"/>
  <c r="K9"/>
  <c r="W36" i="4" s="1"/>
  <c r="J9" i="11"/>
  <c r="V36" i="4" s="1"/>
  <c r="I9" i="11"/>
  <c r="H9"/>
  <c r="G9"/>
  <c r="O36" i="4" s="1"/>
  <c r="F9" i="11"/>
  <c r="J36" i="4" s="1"/>
  <c r="E9" i="11"/>
  <c r="L8"/>
  <c r="K8"/>
  <c r="W35" i="4" s="1"/>
  <c r="J8" i="11"/>
  <c r="V35" i="4" s="1"/>
  <c r="I8" i="11"/>
  <c r="H8"/>
  <c r="G8"/>
  <c r="O35" i="4" s="1"/>
  <c r="F8" i="11"/>
  <c r="J35" i="4" s="1"/>
  <c r="E8" i="11"/>
  <c r="L7"/>
  <c r="K7"/>
  <c r="W34" i="4" s="1"/>
  <c r="J7" i="11"/>
  <c r="I7"/>
  <c r="H7"/>
  <c r="G7"/>
  <c r="O34" i="4" s="1"/>
  <c r="F7" i="11"/>
  <c r="J34" i="4" s="1"/>
  <c r="E7" i="11"/>
  <c r="E34" i="4" s="1"/>
  <c r="L6" i="11"/>
  <c r="K6"/>
  <c r="W33" i="4" s="1"/>
  <c r="J6" i="11"/>
  <c r="I6"/>
  <c r="H6"/>
  <c r="T33" i="4" s="1"/>
  <c r="G6" i="11"/>
  <c r="F6"/>
  <c r="E6"/>
  <c r="F5"/>
  <c r="G5"/>
  <c r="H5"/>
  <c r="I5"/>
  <c r="J5"/>
  <c r="K5"/>
  <c r="W32" i="4" s="1"/>
  <c r="L5" i="11"/>
  <c r="E5"/>
  <c r="T38" i="6"/>
  <c r="T39"/>
  <c r="O34"/>
  <c r="O51"/>
  <c r="O60"/>
  <c r="R60" s="1"/>
  <c r="J38"/>
  <c r="J48"/>
  <c r="J50"/>
  <c r="J58"/>
  <c r="J59"/>
  <c r="J60"/>
  <c r="E36"/>
  <c r="E38"/>
  <c r="E47"/>
  <c r="E48"/>
  <c r="F48" s="1"/>
  <c r="E50"/>
  <c r="E51"/>
  <c r="E52"/>
  <c r="E58"/>
  <c r="E59"/>
  <c r="E60"/>
  <c r="T38" i="4"/>
  <c r="T47"/>
  <c r="T48"/>
  <c r="T50"/>
  <c r="T51"/>
  <c r="T52"/>
  <c r="T58"/>
  <c r="T59"/>
  <c r="T60"/>
  <c r="O48"/>
  <c r="P48" s="1"/>
  <c r="J48"/>
  <c r="J50" i="5"/>
  <c r="J51"/>
  <c r="J60" i="4"/>
  <c r="J59" i="5"/>
  <c r="J60"/>
  <c r="X37"/>
  <c r="X49"/>
  <c r="X58"/>
  <c r="X60"/>
  <c r="V46"/>
  <c r="V59"/>
  <c r="V60"/>
  <c r="U33"/>
  <c r="U49"/>
  <c r="U59"/>
  <c r="T48"/>
  <c r="T58"/>
  <c r="O35"/>
  <c r="O47"/>
  <c r="Q47" s="1"/>
  <c r="O52"/>
  <c r="S52" s="1"/>
  <c r="J34"/>
  <c r="K34" s="1"/>
  <c r="J39"/>
  <c r="J48"/>
  <c r="I10" i="21"/>
  <c r="W68" i="5" s="1"/>
  <c r="W69" i="4" s="1"/>
  <c r="H9" i="21"/>
  <c r="V68" i="6" s="1"/>
  <c r="V68" i="4" s="1"/>
  <c r="G9" i="21"/>
  <c r="U68" i="6" s="1"/>
  <c r="U68" i="4" s="1"/>
  <c r="D10" i="7"/>
  <c r="N6" s="1"/>
  <c r="D17"/>
  <c r="N12" s="1"/>
  <c r="E10"/>
  <c r="O6" s="1"/>
  <c r="E17"/>
  <c r="O12" s="1"/>
  <c r="F10"/>
  <c r="P6" s="1"/>
  <c r="F17"/>
  <c r="P12" s="1"/>
  <c r="G10"/>
  <c r="Q6" s="1"/>
  <c r="G17"/>
  <c r="Q12" s="1"/>
  <c r="H10"/>
  <c r="R6" s="1"/>
  <c r="H17"/>
  <c r="R12" s="1"/>
  <c r="I10"/>
  <c r="S6" s="1"/>
  <c r="I17"/>
  <c r="S12" s="1"/>
  <c r="D10" i="2"/>
  <c r="N6" s="1"/>
  <c r="D17"/>
  <c r="N12" s="1"/>
  <c r="E10"/>
  <c r="O6" s="1"/>
  <c r="O18" s="1"/>
  <c r="E17"/>
  <c r="O12" s="1"/>
  <c r="F10"/>
  <c r="P6" s="1"/>
  <c r="F17"/>
  <c r="G10"/>
  <c r="Q6" s="1"/>
  <c r="G17"/>
  <c r="Q12"/>
  <c r="H10"/>
  <c r="R6" s="1"/>
  <c r="H17"/>
  <c r="R12" s="1"/>
  <c r="I10"/>
  <c r="S6" s="1"/>
  <c r="I17"/>
  <c r="S12" s="1"/>
  <c r="AB5" i="20"/>
  <c r="AF5" s="1"/>
  <c r="N5"/>
  <c r="AB6"/>
  <c r="N6"/>
  <c r="N7"/>
  <c r="AC7" s="1"/>
  <c r="AB9"/>
  <c r="N9"/>
  <c r="AB18"/>
  <c r="AB22"/>
  <c r="AC22" s="1"/>
  <c r="AB19"/>
  <c r="AC19" s="1"/>
  <c r="AB20"/>
  <c r="AC20" s="1"/>
  <c r="AB21"/>
  <c r="AC21" s="1"/>
  <c r="AB23"/>
  <c r="AF23" s="1"/>
  <c r="AC23"/>
  <c r="AB24"/>
  <c r="AC24" s="1"/>
  <c r="AB25"/>
  <c r="N25"/>
  <c r="U25" s="1"/>
  <c r="AB33"/>
  <c r="AF33" s="1"/>
  <c r="AB34"/>
  <c r="AB35"/>
  <c r="AC35" s="1"/>
  <c r="AB36"/>
  <c r="N36"/>
  <c r="AB37"/>
  <c r="O37"/>
  <c r="N37" s="1"/>
  <c r="AB44"/>
  <c r="AC44" s="1"/>
  <c r="AB45"/>
  <c r="AF45" s="1"/>
  <c r="N45"/>
  <c r="AB46"/>
  <c r="AB47"/>
  <c r="AC47" s="1"/>
  <c r="AB54"/>
  <c r="AC54" s="1"/>
  <c r="AB55"/>
  <c r="AC55" s="1"/>
  <c r="AB57"/>
  <c r="N57"/>
  <c r="D9" i="1"/>
  <c r="N5" s="1"/>
  <c r="D16"/>
  <c r="N11" s="1"/>
  <c r="E9"/>
  <c r="O5" s="1"/>
  <c r="E16"/>
  <c r="O11" s="1"/>
  <c r="F9"/>
  <c r="P5" s="1"/>
  <c r="F16"/>
  <c r="P11" s="1"/>
  <c r="G9"/>
  <c r="Q5" s="1"/>
  <c r="G16"/>
  <c r="Q11" s="1"/>
  <c r="H9"/>
  <c r="R5" s="1"/>
  <c r="H16"/>
  <c r="R11" s="1"/>
  <c r="I9"/>
  <c r="S5" s="1"/>
  <c r="I16"/>
  <c r="S11" s="1"/>
  <c r="AA8" i="19"/>
  <c r="O8"/>
  <c r="AA10"/>
  <c r="AE10" s="1"/>
  <c r="O10"/>
  <c r="X40" i="4"/>
  <c r="X54"/>
  <c r="X55"/>
  <c r="X56"/>
  <c r="V55"/>
  <c r="U40"/>
  <c r="U54"/>
  <c r="X33"/>
  <c r="X37"/>
  <c r="X46"/>
  <c r="X49"/>
  <c r="X58"/>
  <c r="X59"/>
  <c r="X60"/>
  <c r="W46"/>
  <c r="V33"/>
  <c r="V58"/>
  <c r="U33"/>
  <c r="U46"/>
  <c r="U49"/>
  <c r="U60"/>
  <c r="T34"/>
  <c r="T35"/>
  <c r="T36"/>
  <c r="T36" i="5"/>
  <c r="N38"/>
  <c r="N37" s="1"/>
  <c r="M38"/>
  <c r="M37" s="1"/>
  <c r="E35" i="4"/>
  <c r="E36"/>
  <c r="E48"/>
  <c r="F48" s="1"/>
  <c r="E52"/>
  <c r="E59"/>
  <c r="E60"/>
  <c r="I52" i="5"/>
  <c r="X56"/>
  <c r="W56"/>
  <c r="V56"/>
  <c r="U56"/>
  <c r="X55"/>
  <c r="W55"/>
  <c r="V55"/>
  <c r="U55"/>
  <c r="X54"/>
  <c r="W54"/>
  <c r="V54"/>
  <c r="U54"/>
  <c r="X53"/>
  <c r="W53"/>
  <c r="V53"/>
  <c r="U53"/>
  <c r="X52" i="4"/>
  <c r="X52" i="5"/>
  <c r="W52" i="4"/>
  <c r="W52" i="5"/>
  <c r="U52" i="4"/>
  <c r="X51"/>
  <c r="V51" i="5"/>
  <c r="U51" i="4"/>
  <c r="X50"/>
  <c r="V50"/>
  <c r="V50" i="5"/>
  <c r="U50"/>
  <c r="X48" i="4"/>
  <c r="X48" i="5"/>
  <c r="U48" i="4"/>
  <c r="X47"/>
  <c r="X47" i="5"/>
  <c r="W47"/>
  <c r="V47"/>
  <c r="U47" i="4"/>
  <c r="X45"/>
  <c r="X45" i="5"/>
  <c r="V45"/>
  <c r="U45" i="4"/>
  <c r="X44"/>
  <c r="V44" i="5"/>
  <c r="U44" i="4"/>
  <c r="X43"/>
  <c r="W43"/>
  <c r="V43"/>
  <c r="V43" i="5"/>
  <c r="U43" i="4"/>
  <c r="X42"/>
  <c r="X42" i="5"/>
  <c r="V42"/>
  <c r="U42" i="4"/>
  <c r="X41"/>
  <c r="W41" i="5"/>
  <c r="V41"/>
  <c r="U41" i="4"/>
  <c r="W40" i="5"/>
  <c r="V40"/>
  <c r="X39" i="4"/>
  <c r="V39"/>
  <c r="U39"/>
  <c r="X38"/>
  <c r="V38"/>
  <c r="V38" i="5"/>
  <c r="U38" i="4"/>
  <c r="U38" i="5"/>
  <c r="N37" i="4"/>
  <c r="M37"/>
  <c r="L37"/>
  <c r="K37"/>
  <c r="I37"/>
  <c r="H37"/>
  <c r="G37"/>
  <c r="F37"/>
  <c r="X36"/>
  <c r="X36" i="5"/>
  <c r="V36"/>
  <c r="U36" i="4"/>
  <c r="U36" i="5"/>
  <c r="X35" i="4"/>
  <c r="X35" i="5"/>
  <c r="W35"/>
  <c r="U35" i="4"/>
  <c r="U35" i="5"/>
  <c r="X34" i="4"/>
  <c r="W34" i="5"/>
  <c r="V34" i="4"/>
  <c r="V34" i="5"/>
  <c r="U34" i="4"/>
  <c r="U34" i="5"/>
  <c r="X32" i="4"/>
  <c r="V32"/>
  <c r="V32" i="5"/>
  <c r="U32" i="4"/>
  <c r="U32" i="5"/>
  <c r="C10" i="7"/>
  <c r="C17"/>
  <c r="N5"/>
  <c r="N8" s="1"/>
  <c r="N11"/>
  <c r="N14" s="1"/>
  <c r="P5"/>
  <c r="P8" s="1"/>
  <c r="Q5"/>
  <c r="R5"/>
  <c r="R8" s="1"/>
  <c r="R11"/>
  <c r="R14" s="1"/>
  <c r="S5"/>
  <c r="C30"/>
  <c r="C37"/>
  <c r="D30"/>
  <c r="D37"/>
  <c r="N31" s="1"/>
  <c r="N34" s="1"/>
  <c r="E30"/>
  <c r="O25" s="1"/>
  <c r="E37"/>
  <c r="O32" s="1"/>
  <c r="F30"/>
  <c r="F37"/>
  <c r="P31" s="1"/>
  <c r="P34" s="1"/>
  <c r="G30"/>
  <c r="Q25" s="1"/>
  <c r="Q28" s="1"/>
  <c r="Q40" s="1"/>
  <c r="G37"/>
  <c r="Q31" s="1"/>
  <c r="Q34" s="1"/>
  <c r="H30"/>
  <c r="R25" s="1"/>
  <c r="R28" s="1"/>
  <c r="H37"/>
  <c r="R31" s="1"/>
  <c r="R34" s="1"/>
  <c r="I30"/>
  <c r="S25" s="1"/>
  <c r="I37"/>
  <c r="S31" s="1"/>
  <c r="R26"/>
  <c r="C10" i="2"/>
  <c r="C17"/>
  <c r="N5"/>
  <c r="N8" s="1"/>
  <c r="O11"/>
  <c r="Q11"/>
  <c r="R5"/>
  <c r="R8" s="1"/>
  <c r="S5"/>
  <c r="S8" s="1"/>
  <c r="S11"/>
  <c r="S14" s="1"/>
  <c r="S15" s="1"/>
  <c r="C30"/>
  <c r="C37"/>
  <c r="D30"/>
  <c r="N25" s="1"/>
  <c r="D37"/>
  <c r="N31" s="1"/>
  <c r="E30"/>
  <c r="O25" s="1"/>
  <c r="E37"/>
  <c r="O32" s="1"/>
  <c r="F30"/>
  <c r="F37"/>
  <c r="P31" s="1"/>
  <c r="P34" s="1"/>
  <c r="G30"/>
  <c r="Q25" s="1"/>
  <c r="G37"/>
  <c r="Q31" s="1"/>
  <c r="H30"/>
  <c r="R25" s="1"/>
  <c r="H37"/>
  <c r="I30"/>
  <c r="I37"/>
  <c r="S31" s="1"/>
  <c r="S34" s="1"/>
  <c r="O26"/>
  <c r="N32"/>
  <c r="C9" i="1"/>
  <c r="C16"/>
  <c r="M14" s="1"/>
  <c r="N4"/>
  <c r="N10"/>
  <c r="N13" s="1"/>
  <c r="P4"/>
  <c r="P7" s="1"/>
  <c r="P10"/>
  <c r="Q4"/>
  <c r="Q7" s="1"/>
  <c r="Q10"/>
  <c r="Q13" s="1"/>
  <c r="Q19" s="1"/>
  <c r="R4"/>
  <c r="N7"/>
  <c r="R7"/>
  <c r="M19"/>
  <c r="C29"/>
  <c r="C36"/>
  <c r="M34" s="1"/>
  <c r="D29"/>
  <c r="D36"/>
  <c r="E29"/>
  <c r="O24" s="1"/>
  <c r="O27" s="1"/>
  <c r="O39" s="1"/>
  <c r="E36"/>
  <c r="O30" s="1"/>
  <c r="O33" s="1"/>
  <c r="F29"/>
  <c r="F36"/>
  <c r="G29"/>
  <c r="G36"/>
  <c r="Q30" s="1"/>
  <c r="Q33" s="1"/>
  <c r="H29"/>
  <c r="H36"/>
  <c r="I29"/>
  <c r="S24" s="1"/>
  <c r="I36"/>
  <c r="S30" s="1"/>
  <c r="C49"/>
  <c r="C56"/>
  <c r="M54" s="1"/>
  <c r="D49"/>
  <c r="N44" s="1"/>
  <c r="D56"/>
  <c r="N50" s="1"/>
  <c r="E49"/>
  <c r="O44" s="1"/>
  <c r="E56"/>
  <c r="F49"/>
  <c r="P44" s="1"/>
  <c r="P47" s="1"/>
  <c r="P59" s="1"/>
  <c r="F56"/>
  <c r="P50" s="1"/>
  <c r="P53" s="1"/>
  <c r="G49"/>
  <c r="Q44" s="1"/>
  <c r="G56"/>
  <c r="Q51" s="1"/>
  <c r="H49"/>
  <c r="R44" s="1"/>
  <c r="H56"/>
  <c r="R50" s="1"/>
  <c r="I49"/>
  <c r="S45" s="1"/>
  <c r="P51"/>
  <c r="I56"/>
  <c r="AF6" i="20"/>
  <c r="AF7"/>
  <c r="AF20"/>
  <c r="AF21"/>
  <c r="AF24"/>
  <c r="AF25"/>
  <c r="AF34"/>
  <c r="AF35"/>
  <c r="AF37"/>
  <c r="AF44"/>
  <c r="AF47"/>
  <c r="AF55"/>
  <c r="AF56"/>
  <c r="AF57"/>
  <c r="AE8" i="19"/>
  <c r="U8"/>
  <c r="Y8" s="1"/>
  <c r="U10"/>
  <c r="D21" i="7"/>
  <c r="X7" i="4" s="1"/>
  <c r="E21" i="7"/>
  <c r="X8" i="4" s="1"/>
  <c r="F21" i="7"/>
  <c r="X9" i="4" s="1"/>
  <c r="D41" i="7"/>
  <c r="X7" i="5" s="1"/>
  <c r="AJ7" s="1"/>
  <c r="E41" i="7"/>
  <c r="X8" i="5" s="1"/>
  <c r="AJ8" s="1"/>
  <c r="F41" i="7"/>
  <c r="X9" i="5" s="1"/>
  <c r="D21" i="2"/>
  <c r="T7" i="4" s="1"/>
  <c r="E21" i="2"/>
  <c r="T8" i="4" s="1"/>
  <c r="F21" i="2"/>
  <c r="T9" i="4" s="1"/>
  <c r="D41" i="2"/>
  <c r="T7" i="5" s="1"/>
  <c r="E41" i="2"/>
  <c r="T8" i="5" s="1"/>
  <c r="AF8" s="1"/>
  <c r="F41" i="2"/>
  <c r="T9" i="5" s="1"/>
  <c r="AF9" s="1"/>
  <c r="D20" i="1"/>
  <c r="J7" i="4" s="1"/>
  <c r="E20" i="1"/>
  <c r="J8" i="4" s="1"/>
  <c r="F20" i="1"/>
  <c r="J9" i="4" s="1"/>
  <c r="E9" s="1"/>
  <c r="F9" s="1"/>
  <c r="D40" i="1"/>
  <c r="J7" i="5" s="1"/>
  <c r="AD7" s="1"/>
  <c r="E40" i="1"/>
  <c r="J8" i="5" s="1"/>
  <c r="F40" i="1"/>
  <c r="J9" i="5" s="1"/>
  <c r="AD9" s="1"/>
  <c r="D60" i="1"/>
  <c r="J7" i="6" s="1"/>
  <c r="E60" i="1"/>
  <c r="J8" i="6" s="1"/>
  <c r="F60" i="1"/>
  <c r="J9" i="6" s="1"/>
  <c r="E9" i="5" s="1"/>
  <c r="C21" i="7"/>
  <c r="X6" i="4" s="1"/>
  <c r="G21" i="7"/>
  <c r="X10" i="4" s="1"/>
  <c r="AJ10" s="1"/>
  <c r="H21" i="7"/>
  <c r="X11" i="4" s="1"/>
  <c r="AJ11" s="1"/>
  <c r="I21" i="7"/>
  <c r="X12" i="4" s="1"/>
  <c r="AJ12" s="1"/>
  <c r="C41" i="7"/>
  <c r="X6" i="5" s="1"/>
  <c r="AJ6" s="1"/>
  <c r="G41" i="7"/>
  <c r="X10" i="5" s="1"/>
  <c r="H41" i="7"/>
  <c r="X11" i="5" s="1"/>
  <c r="AJ11" s="1"/>
  <c r="I41" i="7"/>
  <c r="X12" i="5" s="1"/>
  <c r="C21" i="2"/>
  <c r="T6" i="4" s="1"/>
  <c r="AF6" s="1"/>
  <c r="G21" i="2"/>
  <c r="T10" i="4" s="1"/>
  <c r="H21" i="2"/>
  <c r="T11" i="4" s="1"/>
  <c r="V11" s="1"/>
  <c r="I21" i="2"/>
  <c r="T12" i="4" s="1"/>
  <c r="C41" i="2"/>
  <c r="T6" i="5" s="1"/>
  <c r="G41" i="2"/>
  <c r="T10" i="5" s="1"/>
  <c r="AF10" s="1"/>
  <c r="H41" i="2"/>
  <c r="T11" i="5" s="1"/>
  <c r="I41" i="2"/>
  <c r="T12" i="5" s="1"/>
  <c r="C20" i="1"/>
  <c r="J6" i="4" s="1"/>
  <c r="G20" i="1"/>
  <c r="J10" i="4" s="1"/>
  <c r="E10" s="1"/>
  <c r="H20" i="1"/>
  <c r="J11" i="4" s="1"/>
  <c r="I20" i="1"/>
  <c r="J12" i="4" s="1"/>
  <c r="C40" i="1"/>
  <c r="J6" i="5" s="1"/>
  <c r="AD6" s="1"/>
  <c r="G40" i="1"/>
  <c r="J10" i="5" s="1"/>
  <c r="AD10" s="1"/>
  <c r="H40" i="1"/>
  <c r="J11" i="5" s="1"/>
  <c r="I40" i="1"/>
  <c r="J12" i="5" s="1"/>
  <c r="C60" i="1"/>
  <c r="J6" i="6" s="1"/>
  <c r="E6" i="5" s="1"/>
  <c r="H6" s="1"/>
  <c r="G60" i="1"/>
  <c r="J10" i="6" s="1"/>
  <c r="H60" i="1"/>
  <c r="J11" i="6" s="1"/>
  <c r="I60" i="1"/>
  <c r="J12" i="6" s="1"/>
  <c r="V8" i="19"/>
  <c r="E38" i="4"/>
  <c r="E39"/>
  <c r="E50"/>
  <c r="C61" i="2"/>
  <c r="T6" i="6" s="1"/>
  <c r="D61" i="2"/>
  <c r="T7" i="6" s="1"/>
  <c r="E61" i="2"/>
  <c r="T8" i="6" s="1"/>
  <c r="F61" i="2"/>
  <c r="T9" i="6" s="1"/>
  <c r="G61" i="2"/>
  <c r="T10" i="6" s="1"/>
  <c r="H61" i="2"/>
  <c r="T11" i="6" s="1"/>
  <c r="H62" i="7"/>
  <c r="X11" i="6" s="1"/>
  <c r="I61" i="2"/>
  <c r="T12" i="6" s="1"/>
  <c r="O12" s="1"/>
  <c r="C62" i="7"/>
  <c r="X6" i="6" s="1"/>
  <c r="V6" s="1"/>
  <c r="U6" s="1"/>
  <c r="W6" s="1"/>
  <c r="D62" i="7"/>
  <c r="X7" i="6" s="1"/>
  <c r="E62" i="7"/>
  <c r="X8" i="6" s="1"/>
  <c r="F62" i="7"/>
  <c r="X9" i="6" s="1"/>
  <c r="G62" i="7"/>
  <c r="X10" i="6" s="1"/>
  <c r="I62" i="7"/>
  <c r="X12" i="6" s="1"/>
  <c r="Z22" s="1"/>
  <c r="C50" i="2"/>
  <c r="C57"/>
  <c r="C51" i="7"/>
  <c r="C58"/>
  <c r="D50" i="2"/>
  <c r="N45" s="1"/>
  <c r="D57"/>
  <c r="N51" s="1"/>
  <c r="N54" s="1"/>
  <c r="D51" i="7"/>
  <c r="N46" s="1"/>
  <c r="D58"/>
  <c r="N52" s="1"/>
  <c r="E50" i="2"/>
  <c r="O45" s="1"/>
  <c r="E57"/>
  <c r="O51" s="1"/>
  <c r="E51" i="7"/>
  <c r="O46" s="1"/>
  <c r="E58"/>
  <c r="O52" s="1"/>
  <c r="O55" s="1"/>
  <c r="F50" i="2"/>
  <c r="P45" s="1"/>
  <c r="F57"/>
  <c r="P51" s="1"/>
  <c r="F51" i="7"/>
  <c r="P46" s="1"/>
  <c r="F58"/>
  <c r="P52" s="1"/>
  <c r="P55" s="1"/>
  <c r="G50" i="2"/>
  <c r="Q45" s="1"/>
  <c r="G57"/>
  <c r="Q51" s="1"/>
  <c r="Q54" s="1"/>
  <c r="G51" i="7"/>
  <c r="Q46" s="1"/>
  <c r="G58"/>
  <c r="Q52" s="1"/>
  <c r="Q55" s="1"/>
  <c r="H50" i="2"/>
  <c r="R45" s="1"/>
  <c r="H57"/>
  <c r="R51" s="1"/>
  <c r="R54" s="1"/>
  <c r="H51" i="7"/>
  <c r="R47" s="1"/>
  <c r="H58"/>
  <c r="R52" s="1"/>
  <c r="R55" s="1"/>
  <c r="I50" i="2"/>
  <c r="S45" s="1"/>
  <c r="I57"/>
  <c r="S52" s="1"/>
  <c r="I51" i="7"/>
  <c r="S46" s="1"/>
  <c r="I58"/>
  <c r="S52" s="1"/>
  <c r="N46" i="2"/>
  <c r="O46"/>
  <c r="P46"/>
  <c r="R46"/>
  <c r="O52"/>
  <c r="T28" i="4"/>
  <c r="J28"/>
  <c r="V5" i="20"/>
  <c r="Z5" s="1"/>
  <c r="V6"/>
  <c r="Z6" s="1"/>
  <c r="V9"/>
  <c r="Z9" s="1"/>
  <c r="V18"/>
  <c r="Z18" s="1"/>
  <c r="V19"/>
  <c r="Z19" s="1"/>
  <c r="V20"/>
  <c r="Z20" s="1"/>
  <c r="V21"/>
  <c r="Z21" s="1"/>
  <c r="V22"/>
  <c r="Z22" s="1"/>
  <c r="V23"/>
  <c r="Z23" s="1"/>
  <c r="V24"/>
  <c r="Z24" s="1"/>
  <c r="V25"/>
  <c r="Z25" s="1"/>
  <c r="V33"/>
  <c r="Z33" s="1"/>
  <c r="V34"/>
  <c r="Z34" s="1"/>
  <c r="V35"/>
  <c r="Z35" s="1"/>
  <c r="V36"/>
  <c r="Z36" s="1"/>
  <c r="V37"/>
  <c r="Z37" s="1"/>
  <c r="V44"/>
  <c r="Z44" s="1"/>
  <c r="V45"/>
  <c r="Z45" s="1"/>
  <c r="V46"/>
  <c r="Z46" s="1"/>
  <c r="V47"/>
  <c r="Z47" s="1"/>
  <c r="V54"/>
  <c r="Z54" s="1"/>
  <c r="V55"/>
  <c r="Z55" s="1"/>
  <c r="V57"/>
  <c r="Z57" s="1"/>
  <c r="T34" i="6"/>
  <c r="T35"/>
  <c r="T36"/>
  <c r="U32"/>
  <c r="X32"/>
  <c r="U33"/>
  <c r="V33"/>
  <c r="X33"/>
  <c r="U34"/>
  <c r="X34"/>
  <c r="U35"/>
  <c r="X35"/>
  <c r="U36"/>
  <c r="X36"/>
  <c r="U37"/>
  <c r="V37"/>
  <c r="X37"/>
  <c r="U38"/>
  <c r="X38"/>
  <c r="U40"/>
  <c r="V40"/>
  <c r="U41"/>
  <c r="V41"/>
  <c r="U42"/>
  <c r="V42"/>
  <c r="U43"/>
  <c r="V43"/>
  <c r="W43"/>
  <c r="U44"/>
  <c r="V44"/>
  <c r="H52"/>
  <c r="U45"/>
  <c r="V45"/>
  <c r="U46"/>
  <c r="V46"/>
  <c r="U47"/>
  <c r="V47"/>
  <c r="W47"/>
  <c r="U48"/>
  <c r="V48"/>
  <c r="U49"/>
  <c r="V49"/>
  <c r="U50"/>
  <c r="V50"/>
  <c r="U51"/>
  <c r="V51"/>
  <c r="W51"/>
  <c r="U52"/>
  <c r="V52"/>
  <c r="U54"/>
  <c r="U55"/>
  <c r="U56"/>
  <c r="V54"/>
  <c r="V55"/>
  <c r="V56"/>
  <c r="W56"/>
  <c r="U58"/>
  <c r="U59"/>
  <c r="U60"/>
  <c r="V58"/>
  <c r="V59"/>
  <c r="V60"/>
  <c r="W60"/>
  <c r="W7" i="20"/>
  <c r="W9"/>
  <c r="W18"/>
  <c r="W22"/>
  <c r="W25"/>
  <c r="W37"/>
  <c r="W47"/>
  <c r="W57"/>
  <c r="H4" i="3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G7"/>
  <c r="F7"/>
  <c r="E7"/>
  <c r="D7"/>
  <c r="C7"/>
  <c r="B7"/>
  <c r="A7"/>
  <c r="G6"/>
  <c r="F6"/>
  <c r="E6"/>
  <c r="D6"/>
  <c r="C6"/>
  <c r="B6"/>
  <c r="A6"/>
  <c r="G5"/>
  <c r="F5"/>
  <c r="E5"/>
  <c r="D5"/>
  <c r="C5"/>
  <c r="B5"/>
  <c r="A5"/>
  <c r="G4"/>
  <c r="F4"/>
  <c r="E4"/>
  <c r="D4"/>
  <c r="C4"/>
  <c r="B4"/>
  <c r="A4"/>
  <c r="P3"/>
  <c r="M3"/>
  <c r="K3"/>
  <c r="H3"/>
  <c r="F3"/>
  <c r="C3"/>
  <c r="P5" i="20"/>
  <c r="AE5" s="1"/>
  <c r="P6"/>
  <c r="T6" s="1"/>
  <c r="P7"/>
  <c r="AE7" s="1"/>
  <c r="P9"/>
  <c r="P18"/>
  <c r="AE18" s="1"/>
  <c r="P19"/>
  <c r="AE19" s="1"/>
  <c r="P20"/>
  <c r="P21"/>
  <c r="AE21" s="1"/>
  <c r="P22"/>
  <c r="AE22" s="1"/>
  <c r="P23"/>
  <c r="AE23" s="1"/>
  <c r="P24"/>
  <c r="AE24" s="1"/>
  <c r="P25"/>
  <c r="AE25" s="1"/>
  <c r="P33"/>
  <c r="P34"/>
  <c r="AE34" s="1"/>
  <c r="P35"/>
  <c r="AE35" s="1"/>
  <c r="P36"/>
  <c r="P37"/>
  <c r="AE37" s="1"/>
  <c r="P44"/>
  <c r="AE44" s="1"/>
  <c r="P45"/>
  <c r="P46"/>
  <c r="AE46" s="1"/>
  <c r="P47"/>
  <c r="AE47" s="1"/>
  <c r="P54"/>
  <c r="P55"/>
  <c r="AE55" s="1"/>
  <c r="P56"/>
  <c r="P57"/>
  <c r="AE57" s="1"/>
  <c r="O5"/>
  <c r="AD5" s="1"/>
  <c r="O6"/>
  <c r="O7"/>
  <c r="AD7" s="1"/>
  <c r="O9"/>
  <c r="O18"/>
  <c r="AD18" s="1"/>
  <c r="O19"/>
  <c r="O20"/>
  <c r="O21"/>
  <c r="AD21" s="1"/>
  <c r="O22"/>
  <c r="AD22" s="1"/>
  <c r="O23"/>
  <c r="O24"/>
  <c r="AD24" s="1"/>
  <c r="O25"/>
  <c r="AD25" s="1"/>
  <c r="O33"/>
  <c r="O34"/>
  <c r="AD34" s="1"/>
  <c r="AD35"/>
  <c r="O36"/>
  <c r="AD36" s="1"/>
  <c r="AD37"/>
  <c r="O44"/>
  <c r="O45"/>
  <c r="AD46"/>
  <c r="O47"/>
  <c r="AD47" s="1"/>
  <c r="O54"/>
  <c r="O55"/>
  <c r="AD55" s="1"/>
  <c r="O56"/>
  <c r="O57"/>
  <c r="AD57" s="1"/>
  <c r="AA5"/>
  <c r="AA6"/>
  <c r="AA7"/>
  <c r="AA9"/>
  <c r="AA18"/>
  <c r="AA19"/>
  <c r="AA20"/>
  <c r="AA21"/>
  <c r="AA22"/>
  <c r="AA23"/>
  <c r="AA24"/>
  <c r="AA25"/>
  <c r="AA33"/>
  <c r="AA34"/>
  <c r="AA35"/>
  <c r="AA36"/>
  <c r="AA37"/>
  <c r="AA44"/>
  <c r="AA45"/>
  <c r="AA46"/>
  <c r="AA47"/>
  <c r="AA54"/>
  <c r="AA55"/>
  <c r="AA57"/>
  <c r="Z7"/>
  <c r="Y7"/>
  <c r="Y20"/>
  <c r="Y35"/>
  <c r="Y54"/>
  <c r="X24"/>
  <c r="X37"/>
  <c r="X45"/>
  <c r="J62" i="7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60" i="1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61" i="2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E96" i="16"/>
  <c r="E103" s="1"/>
  <c r="C96"/>
  <c r="E112"/>
  <c r="AF57" i="19"/>
  <c r="AF56"/>
  <c r="AF55"/>
  <c r="AF54"/>
  <c r="AF47"/>
  <c r="AF46"/>
  <c r="AF45"/>
  <c r="AF44"/>
  <c r="AF37"/>
  <c r="AF36"/>
  <c r="AF35"/>
  <c r="AF34"/>
  <c r="AF33"/>
  <c r="AF25"/>
  <c r="AF24"/>
  <c r="AF23"/>
  <c r="AF22"/>
  <c r="AF21"/>
  <c r="AF20"/>
  <c r="AF19"/>
  <c r="AF18"/>
  <c r="AF10"/>
  <c r="AF8"/>
  <c r="AF7"/>
  <c r="AF6"/>
  <c r="Z10"/>
  <c r="Z8"/>
  <c r="Q32"/>
  <c r="P32"/>
  <c r="T32" s="1"/>
  <c r="Q10"/>
  <c r="P10"/>
  <c r="Q8"/>
  <c r="AD8" s="1"/>
  <c r="P8"/>
  <c r="T8" s="1"/>
  <c r="N53"/>
  <c r="N43"/>
  <c r="N32"/>
  <c r="N31"/>
  <c r="L26"/>
  <c r="N26" s="1"/>
  <c r="N17"/>
  <c r="N5"/>
  <c r="M53" i="20"/>
  <c r="M43"/>
  <c r="M32"/>
  <c r="AG57"/>
  <c r="AG56"/>
  <c r="AG55"/>
  <c r="AG54"/>
  <c r="AG47"/>
  <c r="AG46"/>
  <c r="AG45"/>
  <c r="AG44"/>
  <c r="AG37"/>
  <c r="AG36"/>
  <c r="AG35"/>
  <c r="AG34"/>
  <c r="AG33"/>
  <c r="AG25"/>
  <c r="AG24"/>
  <c r="AG23"/>
  <c r="AG22"/>
  <c r="AG21"/>
  <c r="AG20"/>
  <c r="AG19"/>
  <c r="AG18"/>
  <c r="AG9"/>
  <c r="AG7"/>
  <c r="AG6"/>
  <c r="AG5"/>
  <c r="P32"/>
  <c r="O32"/>
  <c r="P8"/>
  <c r="T8" s="1"/>
  <c r="O8"/>
  <c r="S8" s="1"/>
  <c r="R56"/>
  <c r="R55"/>
  <c r="R54"/>
  <c r="R47"/>
  <c r="R44"/>
  <c r="R23"/>
  <c r="R22"/>
  <c r="R21"/>
  <c r="R20"/>
  <c r="R18"/>
  <c r="B81" i="29"/>
  <c r="D81"/>
  <c r="D19"/>
  <c r="D47" s="1"/>
  <c r="D20"/>
  <c r="D48" s="1"/>
  <c r="D25"/>
  <c r="D53" s="1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30"/>
  <c r="S23" i="19"/>
  <c r="H11" i="29" s="1"/>
  <c r="H40" s="1"/>
  <c r="S20" i="19"/>
  <c r="S21"/>
  <c r="S18"/>
  <c r="S59" s="1"/>
  <c r="H26" i="29" s="1"/>
  <c r="S56" i="19"/>
  <c r="S55"/>
  <c r="S54"/>
  <c r="S47"/>
  <c r="H16" i="29" s="1"/>
  <c r="H44" s="1"/>
  <c r="S44" i="19"/>
  <c r="S22"/>
  <c r="N44"/>
  <c r="C6" i="29" s="1"/>
  <c r="C34" s="1"/>
  <c r="D6"/>
  <c r="D34" s="1"/>
  <c r="G6"/>
  <c r="H6"/>
  <c r="H34" s="1"/>
  <c r="B6"/>
  <c r="C29"/>
  <c r="A29"/>
  <c r="B18"/>
  <c r="N24" i="19"/>
  <c r="C18" i="29" s="1"/>
  <c r="C46" s="1"/>
  <c r="D18"/>
  <c r="F18"/>
  <c r="F46" s="1"/>
  <c r="G18"/>
  <c r="H18"/>
  <c r="T57" i="19"/>
  <c r="I20" i="29" s="1"/>
  <c r="I48" s="1"/>
  <c r="T54" i="19"/>
  <c r="I3" i="29" s="1"/>
  <c r="I31" s="1"/>
  <c r="T46" i="19"/>
  <c r="I14" i="29" s="1"/>
  <c r="T45" i="19"/>
  <c r="I7" i="29" s="1"/>
  <c r="I35" s="1"/>
  <c r="T35" i="19"/>
  <c r="I22" i="29" s="1"/>
  <c r="I50" s="1"/>
  <c r="T26" i="19"/>
  <c r="T27"/>
  <c r="T28"/>
  <c r="T29"/>
  <c r="T30"/>
  <c r="T31"/>
  <c r="T33"/>
  <c r="I15" i="29" s="1"/>
  <c r="I43" s="1"/>
  <c r="T25" i="19"/>
  <c r="I23" i="29" s="1"/>
  <c r="I51" s="1"/>
  <c r="T23" i="19"/>
  <c r="I11" i="29" s="1"/>
  <c r="I39" s="1"/>
  <c r="T22" i="19"/>
  <c r="I10" i="29" s="1"/>
  <c r="I38" s="1"/>
  <c r="T21" i="19"/>
  <c r="T19"/>
  <c r="I5" i="29" s="1"/>
  <c r="I33" s="1"/>
  <c r="T9" i="19"/>
  <c r="T7"/>
  <c r="I13" i="29" s="1"/>
  <c r="I41" s="1"/>
  <c r="T6" i="19"/>
  <c r="I8" i="29" s="1"/>
  <c r="I36" s="1"/>
  <c r="N10" i="19"/>
  <c r="N9"/>
  <c r="T47"/>
  <c r="E8" i="29"/>
  <c r="E36" s="1"/>
  <c r="B8"/>
  <c r="B36" s="1"/>
  <c r="N6" i="19"/>
  <c r="C8" i="29" s="1"/>
  <c r="C36" s="1"/>
  <c r="B13"/>
  <c r="B41" s="1"/>
  <c r="N7" i="19"/>
  <c r="C13" i="29"/>
  <c r="C41" s="1"/>
  <c r="B19"/>
  <c r="B47" s="1"/>
  <c r="B21"/>
  <c r="B49" s="1"/>
  <c r="B2"/>
  <c r="B5"/>
  <c r="B33" s="1"/>
  <c r="N19" i="19"/>
  <c r="C5" i="29" s="1"/>
  <c r="C33" s="1"/>
  <c r="B4"/>
  <c r="B32" s="1"/>
  <c r="N20" i="19"/>
  <c r="C4" i="29" s="1"/>
  <c r="C32" s="1"/>
  <c r="B10"/>
  <c r="B38" s="1"/>
  <c r="B34"/>
  <c r="N22" i="19"/>
  <c r="C10" i="29" s="1"/>
  <c r="C38" s="1"/>
  <c r="B11"/>
  <c r="N23" i="19"/>
  <c r="C11" i="29" s="1"/>
  <c r="C39" s="1"/>
  <c r="B23"/>
  <c r="N25" i="19"/>
  <c r="C23" i="29" s="1"/>
  <c r="C51" s="1"/>
  <c r="B15"/>
  <c r="N33" i="19"/>
  <c r="C15" i="29" s="1"/>
  <c r="C43" s="1"/>
  <c r="B17"/>
  <c r="B45" s="1"/>
  <c r="N34" i="19"/>
  <c r="C17" i="29" s="1"/>
  <c r="C45" s="1"/>
  <c r="B22"/>
  <c r="B50" s="1"/>
  <c r="B51"/>
  <c r="N35" i="19"/>
  <c r="C22" i="29" s="1"/>
  <c r="C50" s="1"/>
  <c r="B24"/>
  <c r="B52" s="1"/>
  <c r="N36" i="19"/>
  <c r="C24" i="29" s="1"/>
  <c r="C52" s="1"/>
  <c r="B25"/>
  <c r="B53" s="1"/>
  <c r="N37" i="19"/>
  <c r="C25" i="29"/>
  <c r="C53" s="1"/>
  <c r="B7"/>
  <c r="N45" i="19"/>
  <c r="C7" i="29"/>
  <c r="C35" s="1"/>
  <c r="B14"/>
  <c r="B42" s="1"/>
  <c r="N46" i="19"/>
  <c r="C14" i="29"/>
  <c r="C42" s="1"/>
  <c r="B16"/>
  <c r="B44" s="1"/>
  <c r="N47" i="19"/>
  <c r="C16" i="29" s="1"/>
  <c r="C44" s="1"/>
  <c r="B3"/>
  <c r="N54" i="19"/>
  <c r="C3" i="29" s="1"/>
  <c r="C31" s="1"/>
  <c r="B12"/>
  <c r="B40" s="1"/>
  <c r="N55" i="19"/>
  <c r="C12" i="29" s="1"/>
  <c r="C40" s="1"/>
  <c r="B9"/>
  <c r="B37" s="1"/>
  <c r="N56" i="19"/>
  <c r="C9" i="29" s="1"/>
  <c r="C37" s="1"/>
  <c r="B20"/>
  <c r="N57" i="19"/>
  <c r="C20" i="29" s="1"/>
  <c r="C48" s="1"/>
  <c r="D8"/>
  <c r="F8"/>
  <c r="F36" s="1"/>
  <c r="G8"/>
  <c r="G36" s="1"/>
  <c r="H8"/>
  <c r="E13"/>
  <c r="E41" s="1"/>
  <c r="F13"/>
  <c r="G13"/>
  <c r="H13"/>
  <c r="H42" s="1"/>
  <c r="G19"/>
  <c r="H19"/>
  <c r="G21"/>
  <c r="G49" s="1"/>
  <c r="H21"/>
  <c r="H50" s="1"/>
  <c r="D2"/>
  <c r="G2"/>
  <c r="G30" s="1"/>
  <c r="H2"/>
  <c r="H30" s="1"/>
  <c r="D5"/>
  <c r="E5"/>
  <c r="E33" s="1"/>
  <c r="G5"/>
  <c r="G33" s="1"/>
  <c r="H5"/>
  <c r="H33" s="1"/>
  <c r="D4"/>
  <c r="D32" s="1"/>
  <c r="F4"/>
  <c r="G4"/>
  <c r="D10"/>
  <c r="E10"/>
  <c r="E38" s="1"/>
  <c r="G10"/>
  <c r="G38" s="1"/>
  <c r="G34"/>
  <c r="H10"/>
  <c r="D11"/>
  <c r="D39" s="1"/>
  <c r="E11"/>
  <c r="E39" s="1"/>
  <c r="F11"/>
  <c r="F39" s="1"/>
  <c r="G11"/>
  <c r="D23"/>
  <c r="D51" s="1"/>
  <c r="E23"/>
  <c r="E51" s="1"/>
  <c r="F23"/>
  <c r="F51" s="1"/>
  <c r="G23"/>
  <c r="G51" s="1"/>
  <c r="H23"/>
  <c r="H52" s="1"/>
  <c r="D15"/>
  <c r="D43" s="1"/>
  <c r="E15"/>
  <c r="E43" s="1"/>
  <c r="G15"/>
  <c r="G43" s="1"/>
  <c r="G47"/>
  <c r="H15"/>
  <c r="G17"/>
  <c r="G45" s="1"/>
  <c r="H17"/>
  <c r="H46" s="1"/>
  <c r="D22"/>
  <c r="E22"/>
  <c r="E50" s="1"/>
  <c r="F22"/>
  <c r="F50" s="1"/>
  <c r="G22"/>
  <c r="G50" s="1"/>
  <c r="H22"/>
  <c r="H51" s="1"/>
  <c r="E24"/>
  <c r="E52" s="1"/>
  <c r="F24"/>
  <c r="F52" s="1"/>
  <c r="G24"/>
  <c r="G52" s="1"/>
  <c r="H24"/>
  <c r="H53" s="1"/>
  <c r="D46"/>
  <c r="E25"/>
  <c r="E53" s="1"/>
  <c r="G25"/>
  <c r="G53" s="1"/>
  <c r="G46"/>
  <c r="H25"/>
  <c r="H47"/>
  <c r="D7"/>
  <c r="D35" s="1"/>
  <c r="F7"/>
  <c r="F35" s="1"/>
  <c r="G7"/>
  <c r="G35" s="1"/>
  <c r="H7"/>
  <c r="D14"/>
  <c r="E14"/>
  <c r="E42" s="1"/>
  <c r="F14"/>
  <c r="F42" s="1"/>
  <c r="G14"/>
  <c r="H14"/>
  <c r="H43" s="1"/>
  <c r="H48"/>
  <c r="D16"/>
  <c r="D44" s="1"/>
  <c r="E16"/>
  <c r="E44" s="1"/>
  <c r="G16"/>
  <c r="G44" s="1"/>
  <c r="I16"/>
  <c r="I44" s="1"/>
  <c r="D3"/>
  <c r="D31" s="1"/>
  <c r="D36"/>
  <c r="E3"/>
  <c r="E31" s="1"/>
  <c r="F3"/>
  <c r="F31" s="1"/>
  <c r="G3"/>
  <c r="H3"/>
  <c r="H31" s="1"/>
  <c r="D12"/>
  <c r="D40" s="1"/>
  <c r="E12"/>
  <c r="E40" s="1"/>
  <c r="F12"/>
  <c r="G12"/>
  <c r="G40" s="1"/>
  <c r="H12"/>
  <c r="H41" s="1"/>
  <c r="D9"/>
  <c r="D37" s="1"/>
  <c r="F9"/>
  <c r="F37" s="1"/>
  <c r="G9"/>
  <c r="H9"/>
  <c r="H38" s="1"/>
  <c r="D42"/>
  <c r="E20"/>
  <c r="E48" s="1"/>
  <c r="F20"/>
  <c r="F48" s="1"/>
  <c r="G20"/>
  <c r="G48" s="1"/>
  <c r="G42"/>
  <c r="H20"/>
  <c r="H49" s="1"/>
  <c r="R59" i="19"/>
  <c r="G26" i="29" s="1"/>
  <c r="S56" i="20"/>
  <c r="S55"/>
  <c r="S44"/>
  <c r="B46" i="29"/>
  <c r="D38"/>
  <c r="G39"/>
  <c r="B48"/>
  <c r="G37"/>
  <c r="G41"/>
  <c r="B39"/>
  <c r="B43"/>
  <c r="B35"/>
  <c r="D50"/>
  <c r="I42"/>
  <c r="H39"/>
  <c r="D30"/>
  <c r="G32"/>
  <c r="D33"/>
  <c r="B31"/>
  <c r="H32"/>
  <c r="F32"/>
  <c r="G31"/>
  <c r="B30"/>
  <c r="N21" i="19"/>
  <c r="N18"/>
  <c r="C2" i="29"/>
  <c r="N8" i="19"/>
  <c r="C19" i="29" s="1"/>
  <c r="C47" s="1"/>
  <c r="C30"/>
  <c r="M56" i="20"/>
  <c r="M57"/>
  <c r="M55"/>
  <c r="M54"/>
  <c r="M47"/>
  <c r="M46"/>
  <c r="M45"/>
  <c r="M44"/>
  <c r="M34"/>
  <c r="M35"/>
  <c r="M36"/>
  <c r="M37"/>
  <c r="M33"/>
  <c r="M19"/>
  <c r="M20"/>
  <c r="M21"/>
  <c r="M22"/>
  <c r="M23"/>
  <c r="M24"/>
  <c r="M25"/>
  <c r="M18"/>
  <c r="M6"/>
  <c r="M7"/>
  <c r="M8"/>
  <c r="M9"/>
  <c r="M5"/>
  <c r="U8"/>
  <c r="U10"/>
  <c r="U11"/>
  <c r="U12"/>
  <c r="U13"/>
  <c r="U14"/>
  <c r="U15"/>
  <c r="U16"/>
  <c r="U17"/>
  <c r="U18"/>
  <c r="U19"/>
  <c r="U20"/>
  <c r="U21"/>
  <c r="U22"/>
  <c r="U23"/>
  <c r="U24"/>
  <c r="U26"/>
  <c r="U27"/>
  <c r="U28"/>
  <c r="U29"/>
  <c r="U30"/>
  <c r="U31"/>
  <c r="U32"/>
  <c r="U35"/>
  <c r="U38"/>
  <c r="U39"/>
  <c r="U40"/>
  <c r="U41"/>
  <c r="U42"/>
  <c r="U43"/>
  <c r="U44"/>
  <c r="U46"/>
  <c r="U47"/>
  <c r="U48"/>
  <c r="U49"/>
  <c r="U50"/>
  <c r="U51"/>
  <c r="U52"/>
  <c r="U53"/>
  <c r="U54"/>
  <c r="U55"/>
  <c r="U56"/>
  <c r="U5"/>
  <c r="T10"/>
  <c r="T11"/>
  <c r="T12"/>
  <c r="T13"/>
  <c r="T14"/>
  <c r="T15"/>
  <c r="T16"/>
  <c r="T17"/>
  <c r="T26"/>
  <c r="T27"/>
  <c r="T28"/>
  <c r="T29"/>
  <c r="T30"/>
  <c r="T31"/>
  <c r="T38"/>
  <c r="T39"/>
  <c r="T40"/>
  <c r="T41"/>
  <c r="T42"/>
  <c r="T43"/>
  <c r="T48"/>
  <c r="T49"/>
  <c r="T50"/>
  <c r="T51"/>
  <c r="T52"/>
  <c r="T53"/>
  <c r="B55" i="27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5"/>
  <c r="D45"/>
  <c r="C45"/>
  <c r="B45"/>
  <c r="E44"/>
  <c r="D44"/>
  <c r="C44"/>
  <c r="B44"/>
  <c r="C43"/>
  <c r="O28" i="4"/>
  <c r="M28" s="1"/>
  <c r="N28"/>
  <c r="P28"/>
  <c r="AE12" i="19"/>
  <c r="AE13"/>
  <c r="AE14"/>
  <c r="AE16"/>
  <c r="AE17"/>
  <c r="AF13" i="20"/>
  <c r="AF14"/>
  <c r="AF15"/>
  <c r="AF17"/>
  <c r="C20" i="17"/>
  <c r="C31" s="1"/>
  <c r="C21"/>
  <c r="C26"/>
  <c r="C32" s="1"/>
  <c r="C22"/>
  <c r="C23"/>
  <c r="C28"/>
  <c r="D20"/>
  <c r="D21"/>
  <c r="D26"/>
  <c r="D22"/>
  <c r="D38" s="1"/>
  <c r="D23"/>
  <c r="D34" s="1"/>
  <c r="D28"/>
  <c r="E20"/>
  <c r="E21"/>
  <c r="E37" s="1"/>
  <c r="E26"/>
  <c r="E22"/>
  <c r="E33"/>
  <c r="E23"/>
  <c r="E34" s="1"/>
  <c r="E28"/>
  <c r="F20"/>
  <c r="F31"/>
  <c r="F21"/>
  <c r="F32" s="1"/>
  <c r="F26"/>
  <c r="F22"/>
  <c r="F38" s="1"/>
  <c r="F23"/>
  <c r="F28"/>
  <c r="C38"/>
  <c r="C39"/>
  <c r="E36"/>
  <c r="E38"/>
  <c r="F36"/>
  <c r="F39"/>
  <c r="C41"/>
  <c r="C44"/>
  <c r="D41"/>
  <c r="D44"/>
  <c r="E43"/>
  <c r="E44"/>
  <c r="F41"/>
  <c r="T69" i="4"/>
  <c r="T70" i="6" s="1"/>
  <c r="T72" s="1"/>
  <c r="E131" i="16"/>
  <c r="F103"/>
  <c r="F124"/>
  <c r="F143"/>
  <c r="F37" i="5"/>
  <c r="G37"/>
  <c r="H37"/>
  <c r="I37"/>
  <c r="T52" i="1"/>
  <c r="D24" i="4"/>
  <c r="D27"/>
  <c r="D26"/>
  <c r="T32" i="1"/>
  <c r="T33" i="2"/>
  <c r="D27" i="6"/>
  <c r="D24" i="5"/>
  <c r="D27"/>
  <c r="AB12" i="19"/>
  <c r="AB13"/>
  <c r="AB16"/>
  <c r="AB17"/>
  <c r="U6" i="20"/>
  <c r="U7"/>
  <c r="U9"/>
  <c r="U45"/>
  <c r="U57"/>
  <c r="AC13"/>
  <c r="AC14"/>
  <c r="AC17"/>
  <c r="F148" i="16"/>
  <c r="E14" i="18"/>
  <c r="E13" s="1"/>
  <c r="E9" s="1"/>
  <c r="E15"/>
  <c r="C147" i="16"/>
  <c r="D147"/>
  <c r="F14" i="18"/>
  <c r="F13" s="1"/>
  <c r="F9" s="1"/>
  <c r="F15"/>
  <c r="E100" i="16"/>
  <c r="C100"/>
  <c r="E135"/>
  <c r="E147" s="1"/>
  <c r="G14" i="18"/>
  <c r="G15"/>
  <c r="F147" i="16"/>
  <c r="H14" i="18"/>
  <c r="H15"/>
  <c r="H13" s="1"/>
  <c r="E98" i="16"/>
  <c r="C98"/>
  <c r="F105" s="1"/>
  <c r="E97"/>
  <c r="E104" s="1"/>
  <c r="C97"/>
  <c r="F104" s="1"/>
  <c r="P86" s="1"/>
  <c r="E99"/>
  <c r="C99"/>
  <c r="F106" s="1"/>
  <c r="T53" i="2"/>
  <c r="D24" i="6"/>
  <c r="D124" i="16"/>
  <c r="F37" i="6"/>
  <c r="G37"/>
  <c r="H37"/>
  <c r="I37"/>
  <c r="K37"/>
  <c r="L37"/>
  <c r="M37"/>
  <c r="N37"/>
  <c r="E115" i="16"/>
  <c r="F127"/>
  <c r="C128"/>
  <c r="D128"/>
  <c r="E116"/>
  <c r="E128"/>
  <c r="F128"/>
  <c r="C127"/>
  <c r="E114"/>
  <c r="E126"/>
  <c r="F126"/>
  <c r="B44" i="26"/>
  <c r="AB42" i="16"/>
  <c r="B51" i="24"/>
  <c r="B55" i="26"/>
  <c r="AF11" i="4"/>
  <c r="E52" i="26"/>
  <c r="D52"/>
  <c r="C52"/>
  <c r="AE42" i="16"/>
  <c r="E51" i="24" s="1"/>
  <c r="E54" i="27" s="1"/>
  <c r="AD42" i="16"/>
  <c r="D51" i="24"/>
  <c r="D54" i="27" s="1"/>
  <c r="AC42" i="16"/>
  <c r="C51" i="24"/>
  <c r="C54" i="27" s="1"/>
  <c r="E51" i="26"/>
  <c r="D51"/>
  <c r="C51"/>
  <c r="E50"/>
  <c r="D50"/>
  <c r="C50"/>
  <c r="AE40" i="16"/>
  <c r="E50" i="24" s="1"/>
  <c r="E53" i="27" s="1"/>
  <c r="AD40" i="16"/>
  <c r="D50" i="24"/>
  <c r="D53" i="27" s="1"/>
  <c r="AC40" i="16"/>
  <c r="C50" i="24" s="1"/>
  <c r="C53" i="27" s="1"/>
  <c r="E49" i="26"/>
  <c r="D49"/>
  <c r="C49"/>
  <c r="E48"/>
  <c r="D48"/>
  <c r="C48"/>
  <c r="E47"/>
  <c r="D47"/>
  <c r="C47"/>
  <c r="E45"/>
  <c r="D45"/>
  <c r="C45"/>
  <c r="E44"/>
  <c r="D44"/>
  <c r="C44"/>
  <c r="AD38" i="16"/>
  <c r="D41" i="24" s="1"/>
  <c r="D41" i="27" s="1"/>
  <c r="AE38" i="16"/>
  <c r="E41" i="24"/>
  <c r="E41" i="27" s="1"/>
  <c r="AC38" i="16"/>
  <c r="C41" i="24" s="1"/>
  <c r="C41" i="26" s="1"/>
  <c r="B52"/>
  <c r="B51"/>
  <c r="B50"/>
  <c r="B48"/>
  <c r="B49"/>
  <c r="B47"/>
  <c r="D43" i="24"/>
  <c r="D43" i="26" s="1"/>
  <c r="E43" i="24"/>
  <c r="C43" i="26"/>
  <c r="AE34" i="16"/>
  <c r="E42" i="24" s="1"/>
  <c r="E42" i="27" s="1"/>
  <c r="AD34" i="16"/>
  <c r="D42" i="24" s="1"/>
  <c r="D42" i="27" s="1"/>
  <c r="AC34" i="16"/>
  <c r="C42" i="24"/>
  <c r="C42" i="27" s="1"/>
  <c r="AB34" i="16"/>
  <c r="B42" i="24" s="1"/>
  <c r="B45" i="26"/>
  <c r="B41" i="24"/>
  <c r="B41" i="26" s="1"/>
  <c r="AD12" i="5"/>
  <c r="D13" i="6"/>
  <c r="D13" i="4"/>
  <c r="E4" i="24" s="1"/>
  <c r="E6"/>
  <c r="D29" i="6"/>
  <c r="B20" i="17"/>
  <c r="B31"/>
  <c r="B21"/>
  <c r="B32" s="1"/>
  <c r="B26"/>
  <c r="B22"/>
  <c r="B33" s="1"/>
  <c r="B23"/>
  <c r="B28"/>
  <c r="B44" s="1"/>
  <c r="C53"/>
  <c r="C66" s="1"/>
  <c r="D53"/>
  <c r="D66"/>
  <c r="E53"/>
  <c r="E66" s="1"/>
  <c r="F53"/>
  <c r="F66"/>
  <c r="G53"/>
  <c r="G66" s="1"/>
  <c r="H53"/>
  <c r="H66"/>
  <c r="I53"/>
  <c r="I66" s="1"/>
  <c r="J53"/>
  <c r="J66" s="1"/>
  <c r="C54"/>
  <c r="C61"/>
  <c r="D54"/>
  <c r="D61"/>
  <c r="E54"/>
  <c r="E61"/>
  <c r="E67" s="1"/>
  <c r="F54"/>
  <c r="F61"/>
  <c r="G54"/>
  <c r="G67" s="1"/>
  <c r="G61"/>
  <c r="H54"/>
  <c r="H61"/>
  <c r="H67" s="1"/>
  <c r="I54"/>
  <c r="I67" s="1"/>
  <c r="I61"/>
  <c r="J54"/>
  <c r="J61"/>
  <c r="C55"/>
  <c r="C68" s="1"/>
  <c r="D55"/>
  <c r="D68"/>
  <c r="E55"/>
  <c r="E68" s="1"/>
  <c r="F55"/>
  <c r="F68" s="1"/>
  <c r="G55"/>
  <c r="G68" s="1"/>
  <c r="H55"/>
  <c r="H68"/>
  <c r="I55"/>
  <c r="I68" s="1"/>
  <c r="J55"/>
  <c r="J68"/>
  <c r="C56"/>
  <c r="C69" s="1"/>
  <c r="D56"/>
  <c r="D69"/>
  <c r="E56"/>
  <c r="E69" s="1"/>
  <c r="F56"/>
  <c r="F69" s="1"/>
  <c r="G56"/>
  <c r="G69" s="1"/>
  <c r="H56"/>
  <c r="H69"/>
  <c r="I56"/>
  <c r="I69" s="1"/>
  <c r="J56"/>
  <c r="J69"/>
  <c r="B54"/>
  <c r="B67" s="1"/>
  <c r="B61"/>
  <c r="B55"/>
  <c r="B68"/>
  <c r="B56"/>
  <c r="B69" s="1"/>
  <c r="B53"/>
  <c r="B66"/>
  <c r="G20"/>
  <c r="G21"/>
  <c r="G32" s="1"/>
  <c r="G26"/>
  <c r="G22"/>
  <c r="G38"/>
  <c r="G23"/>
  <c r="G28"/>
  <c r="H20"/>
  <c r="H41" s="1"/>
  <c r="H21"/>
  <c r="H26"/>
  <c r="H22"/>
  <c r="H38" s="1"/>
  <c r="H23"/>
  <c r="H44" s="1"/>
  <c r="H28"/>
  <c r="I20"/>
  <c r="I36"/>
  <c r="I21"/>
  <c r="I26"/>
  <c r="I22"/>
  <c r="I38"/>
  <c r="I23"/>
  <c r="I39" s="1"/>
  <c r="I28"/>
  <c r="J20"/>
  <c r="J41" s="1"/>
  <c r="J21"/>
  <c r="J26"/>
  <c r="J32" s="1"/>
  <c r="J22"/>
  <c r="J38" s="1"/>
  <c r="J23"/>
  <c r="J28"/>
  <c r="J39" s="1"/>
  <c r="G43"/>
  <c r="H42"/>
  <c r="H43"/>
  <c r="I41"/>
  <c r="I43"/>
  <c r="J42"/>
  <c r="J43"/>
  <c r="G33"/>
  <c r="H33"/>
  <c r="I31"/>
  <c r="I33"/>
  <c r="J33"/>
  <c r="T54" i="7"/>
  <c r="T33"/>
  <c r="H96" i="16"/>
  <c r="H124" s="1"/>
  <c r="H112"/>
  <c r="G112" s="1"/>
  <c r="H131"/>
  <c r="G131" s="1"/>
  <c r="H100"/>
  <c r="H116"/>
  <c r="G116"/>
  <c r="H135"/>
  <c r="I135" s="1"/>
  <c r="G135"/>
  <c r="I14" i="18"/>
  <c r="I15"/>
  <c r="H98" i="16"/>
  <c r="G98" s="1"/>
  <c r="G105" s="1"/>
  <c r="H97"/>
  <c r="H147"/>
  <c r="J14" i="18"/>
  <c r="J13" s="1"/>
  <c r="J15"/>
  <c r="H105" i="16"/>
  <c r="I96"/>
  <c r="I103" s="1"/>
  <c r="I50" i="17" s="1"/>
  <c r="I52" s="1"/>
  <c r="I131" i="16"/>
  <c r="K14" i="18"/>
  <c r="K15"/>
  <c r="K13" s="1"/>
  <c r="I97" i="16"/>
  <c r="I104" s="1"/>
  <c r="I109" s="1"/>
  <c r="J103"/>
  <c r="J124"/>
  <c r="J143"/>
  <c r="J148"/>
  <c r="J147"/>
  <c r="L14" i="18"/>
  <c r="L15"/>
  <c r="J105" i="16"/>
  <c r="J104"/>
  <c r="H99"/>
  <c r="H106" s="1"/>
  <c r="G99"/>
  <c r="G106" s="1"/>
  <c r="Q88" s="1"/>
  <c r="H115"/>
  <c r="G115"/>
  <c r="G127" s="1"/>
  <c r="H114"/>
  <c r="G114" s="1"/>
  <c r="G126" s="1"/>
  <c r="H127"/>
  <c r="I99"/>
  <c r="I106" s="1"/>
  <c r="S88" s="1"/>
  <c r="I115"/>
  <c r="I116"/>
  <c r="I122" s="1"/>
  <c r="I114"/>
  <c r="J106"/>
  <c r="J127"/>
  <c r="J128"/>
  <c r="J126"/>
  <c r="B152"/>
  <c r="B153"/>
  <c r="B154"/>
  <c r="D154"/>
  <c r="E132"/>
  <c r="E133"/>
  <c r="F154"/>
  <c r="C132"/>
  <c r="C154" s="1"/>
  <c r="C133"/>
  <c r="C131"/>
  <c r="D153"/>
  <c r="E113"/>
  <c r="E153" s="1"/>
  <c r="F153"/>
  <c r="C113"/>
  <c r="C114"/>
  <c r="I120" s="1"/>
  <c r="C112"/>
  <c r="C152"/>
  <c r="D152"/>
  <c r="E152"/>
  <c r="F152"/>
  <c r="AE36"/>
  <c r="AD36"/>
  <c r="AC36"/>
  <c r="AB36"/>
  <c r="AC11"/>
  <c r="AE11"/>
  <c r="AD11"/>
  <c r="AB11"/>
  <c r="AC6"/>
  <c r="AE6"/>
  <c r="AD6"/>
  <c r="AB6"/>
  <c r="S46" i="20"/>
  <c r="S35"/>
  <c r="T32"/>
  <c r="N48" i="19"/>
  <c r="N38"/>
  <c r="C21" i="29"/>
  <c r="E2"/>
  <c r="W8" i="19"/>
  <c r="C109" i="22"/>
  <c r="C110" s="1"/>
  <c r="A100"/>
  <c r="A102" s="1"/>
  <c r="E93"/>
  <c r="E94" s="1"/>
  <c r="C89"/>
  <c r="I87"/>
  <c r="H87"/>
  <c r="G87"/>
  <c r="F87"/>
  <c r="E87"/>
  <c r="D87"/>
  <c r="C87"/>
  <c r="B87"/>
  <c r="E79"/>
  <c r="E80" s="1"/>
  <c r="D80"/>
  <c r="F67"/>
  <c r="G67" s="1"/>
  <c r="D65"/>
  <c r="E65" s="1"/>
  <c r="G61"/>
  <c r="F60"/>
  <c r="F59"/>
  <c r="D59"/>
  <c r="E59" s="1"/>
  <c r="B45"/>
  <c r="D45" s="1"/>
  <c r="B46"/>
  <c r="D46" s="1"/>
  <c r="B37"/>
  <c r="D37" s="1"/>
  <c r="B38"/>
  <c r="D38"/>
  <c r="L37"/>
  <c r="L39" s="1"/>
  <c r="L38"/>
  <c r="K28"/>
  <c r="J28"/>
  <c r="I28"/>
  <c r="K5"/>
  <c r="J5"/>
  <c r="I5"/>
  <c r="J27"/>
  <c r="H5"/>
  <c r="N23"/>
  <c r="M23"/>
  <c r="L23"/>
  <c r="K23"/>
  <c r="J23"/>
  <c r="I23"/>
  <c r="O21"/>
  <c r="B18"/>
  <c r="G18" s="1"/>
  <c r="G21" s="1"/>
  <c r="F21"/>
  <c r="F18"/>
  <c r="T18" s="1"/>
  <c r="B17"/>
  <c r="G17"/>
  <c r="G20" s="1"/>
  <c r="J18"/>
  <c r="B8"/>
  <c r="D8" s="1"/>
  <c r="N18"/>
  <c r="M18"/>
  <c r="L18"/>
  <c r="K18"/>
  <c r="I18"/>
  <c r="H18"/>
  <c r="D18"/>
  <c r="N17"/>
  <c r="M17"/>
  <c r="L17"/>
  <c r="K17"/>
  <c r="J17"/>
  <c r="I17"/>
  <c r="H17"/>
  <c r="K12"/>
  <c r="L12" s="1"/>
  <c r="M12" s="1"/>
  <c r="N12" s="1"/>
  <c r="J12"/>
  <c r="I12"/>
  <c r="H12"/>
  <c r="G12"/>
  <c r="C12"/>
  <c r="K11"/>
  <c r="L11" s="1"/>
  <c r="M11" s="1"/>
  <c r="N11" s="1"/>
  <c r="J11"/>
  <c r="I11"/>
  <c r="H11"/>
  <c r="G11"/>
  <c r="D11"/>
  <c r="B7"/>
  <c r="T10" s="1"/>
  <c r="K10"/>
  <c r="L10" s="1"/>
  <c r="M10" s="1"/>
  <c r="N10" s="1"/>
  <c r="J10"/>
  <c r="I10"/>
  <c r="H10"/>
  <c r="G5"/>
  <c r="G9" s="1"/>
  <c r="T9"/>
  <c r="J9"/>
  <c r="I9"/>
  <c r="H9"/>
  <c r="D7"/>
  <c r="T8"/>
  <c r="F8"/>
  <c r="K7"/>
  <c r="L7" s="1"/>
  <c r="M7" s="1"/>
  <c r="N7" s="1"/>
  <c r="J7"/>
  <c r="I7"/>
  <c r="F7"/>
  <c r="V69" i="4"/>
  <c r="C10" i="21"/>
  <c r="B10"/>
  <c r="B9"/>
  <c r="I5"/>
  <c r="H5"/>
  <c r="D5"/>
  <c r="C5"/>
  <c r="AE13" i="20"/>
  <c r="AE14"/>
  <c r="AE15"/>
  <c r="AE17"/>
  <c r="AD13"/>
  <c r="AD14"/>
  <c r="AD15"/>
  <c r="AD17"/>
  <c r="AD12" i="19"/>
  <c r="AD13"/>
  <c r="AD14"/>
  <c r="AD16"/>
  <c r="AD17"/>
  <c r="AC8"/>
  <c r="AC12"/>
  <c r="AC13"/>
  <c r="AC14"/>
  <c r="AC16"/>
  <c r="AC17"/>
  <c r="L48"/>
  <c r="M38"/>
  <c r="L38"/>
  <c r="L11"/>
  <c r="X28" i="4"/>
  <c r="V28"/>
  <c r="U28" s="1"/>
  <c r="W28" s="1"/>
  <c r="B63"/>
  <c r="D65" i="6"/>
  <c r="B66" i="5"/>
  <c r="B66" i="6"/>
  <c r="B65" i="5"/>
  <c r="B65" i="6"/>
  <c r="V39" i="5"/>
  <c r="W39"/>
  <c r="U39" i="6"/>
  <c r="W39"/>
  <c r="X39"/>
  <c r="B32" i="5"/>
  <c r="Z32"/>
  <c r="B33"/>
  <c r="B34"/>
  <c r="Z34"/>
  <c r="B35"/>
  <c r="Z35"/>
  <c r="B36"/>
  <c r="Z36"/>
  <c r="B37"/>
  <c r="B38"/>
  <c r="Z38"/>
  <c r="B39"/>
  <c r="B40"/>
  <c r="B41"/>
  <c r="Z41"/>
  <c r="B42"/>
  <c r="Z42"/>
  <c r="B43"/>
  <c r="Z43"/>
  <c r="B44"/>
  <c r="Z44"/>
  <c r="B45"/>
  <c r="B46"/>
  <c r="B47"/>
  <c r="Z47"/>
  <c r="B48"/>
  <c r="Z48"/>
  <c r="B49"/>
  <c r="Z50"/>
  <c r="B51"/>
  <c r="Z51"/>
  <c r="B52"/>
  <c r="B57"/>
  <c r="B58"/>
  <c r="Z58"/>
  <c r="B59"/>
  <c r="Z59"/>
  <c r="B60"/>
  <c r="Z60"/>
  <c r="D31"/>
  <c r="E31"/>
  <c r="U31"/>
  <c r="V31"/>
  <c r="W31"/>
  <c r="X31"/>
  <c r="B32" i="6"/>
  <c r="Z32"/>
  <c r="B33"/>
  <c r="B34"/>
  <c r="Z34"/>
  <c r="B35"/>
  <c r="Z35"/>
  <c r="B36"/>
  <c r="Z36"/>
  <c r="B37"/>
  <c r="B38"/>
  <c r="Z38"/>
  <c r="B39"/>
  <c r="B40"/>
  <c r="B41"/>
  <c r="Z41"/>
  <c r="B42"/>
  <c r="Z42"/>
  <c r="B43"/>
  <c r="Z43"/>
  <c r="B44"/>
  <c r="Z44"/>
  <c r="B45"/>
  <c r="B46"/>
  <c r="B47"/>
  <c r="Z47"/>
  <c r="B48"/>
  <c r="Z48"/>
  <c r="B49"/>
  <c r="B50"/>
  <c r="Z50"/>
  <c r="B51"/>
  <c r="Z51"/>
  <c r="B52"/>
  <c r="B57"/>
  <c r="B58"/>
  <c r="Z58"/>
  <c r="B59"/>
  <c r="Z59"/>
  <c r="B60"/>
  <c r="Z60"/>
  <c r="D31"/>
  <c r="E31"/>
  <c r="T31"/>
  <c r="U31"/>
  <c r="V31"/>
  <c r="W31"/>
  <c r="X31"/>
  <c r="B58" i="4"/>
  <c r="Z58"/>
  <c r="B59"/>
  <c r="Z59"/>
  <c r="B60"/>
  <c r="Z60"/>
  <c r="B32"/>
  <c r="Z32"/>
  <c r="B33"/>
  <c r="B34"/>
  <c r="Z34"/>
  <c r="B35"/>
  <c r="Z35"/>
  <c r="B36"/>
  <c r="Z36"/>
  <c r="B37"/>
  <c r="B38"/>
  <c r="Z38"/>
  <c r="B39"/>
  <c r="B40"/>
  <c r="B41"/>
  <c r="Z41"/>
  <c r="B42"/>
  <c r="Z42"/>
  <c r="B43"/>
  <c r="Z43"/>
  <c r="B44"/>
  <c r="Z44"/>
  <c r="B45"/>
  <c r="B46"/>
  <c r="B47"/>
  <c r="Z47"/>
  <c r="B48"/>
  <c r="Z48"/>
  <c r="B49"/>
  <c r="B50"/>
  <c r="Z50"/>
  <c r="B51"/>
  <c r="Z51"/>
  <c r="B52"/>
  <c r="B57"/>
  <c r="D31"/>
  <c r="T31"/>
  <c r="U31"/>
  <c r="V31"/>
  <c r="W31"/>
  <c r="X31"/>
  <c r="D29"/>
  <c r="D30" i="6" s="1"/>
  <c r="L47" i="18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D45"/>
  <c r="L44"/>
  <c r="K44"/>
  <c r="J44"/>
  <c r="I44"/>
  <c r="H44"/>
  <c r="G44"/>
  <c r="J139" i="16"/>
  <c r="L43" i="18"/>
  <c r="L36" s="1"/>
  <c r="H133" i="16"/>
  <c r="I133" s="1"/>
  <c r="I139" s="1"/>
  <c r="K43" i="18" s="1"/>
  <c r="K41" s="1"/>
  <c r="G133" i="16"/>
  <c r="G139" s="1"/>
  <c r="I43" i="18" s="1"/>
  <c r="I36" s="1"/>
  <c r="F139" i="16"/>
  <c r="H43" i="18" s="1"/>
  <c r="F42"/>
  <c r="E42"/>
  <c r="F41"/>
  <c r="E41"/>
  <c r="L38"/>
  <c r="K38"/>
  <c r="K37" s="1"/>
  <c r="J38"/>
  <c r="J37" s="1"/>
  <c r="I38"/>
  <c r="I37" s="1"/>
  <c r="H38"/>
  <c r="G38"/>
  <c r="F38"/>
  <c r="F37" s="1"/>
  <c r="L37"/>
  <c r="H37"/>
  <c r="G37"/>
  <c r="E37"/>
  <c r="F36"/>
  <c r="E36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F25" s="1"/>
  <c r="E29"/>
  <c r="D29"/>
  <c r="L27"/>
  <c r="K27"/>
  <c r="J27"/>
  <c r="I27"/>
  <c r="H27"/>
  <c r="F26"/>
  <c r="E26"/>
  <c r="E25"/>
  <c r="L21"/>
  <c r="K21"/>
  <c r="J21"/>
  <c r="I21"/>
  <c r="H21"/>
  <c r="G21"/>
  <c r="F21"/>
  <c r="E21"/>
  <c r="F20"/>
  <c r="E20"/>
  <c r="D13"/>
  <c r="F10"/>
  <c r="E10"/>
  <c r="L6"/>
  <c r="L5" s="1"/>
  <c r="K6"/>
  <c r="J6"/>
  <c r="J5" s="1"/>
  <c r="I6"/>
  <c r="I5" s="1"/>
  <c r="H6"/>
  <c r="H5" s="1"/>
  <c r="G6"/>
  <c r="F6"/>
  <c r="F5" s="1"/>
  <c r="K5"/>
  <c r="G5"/>
  <c r="E5"/>
  <c r="F4"/>
  <c r="E4"/>
  <c r="J59" i="17"/>
  <c r="I59"/>
  <c r="H59"/>
  <c r="G59"/>
  <c r="F59"/>
  <c r="E59"/>
  <c r="D59"/>
  <c r="C59"/>
  <c r="B59"/>
  <c r="D50"/>
  <c r="J50"/>
  <c r="J52" s="1"/>
  <c r="F50"/>
  <c r="F52" s="1"/>
  <c r="E50"/>
  <c r="E52" s="1"/>
  <c r="D51"/>
  <c r="C50"/>
  <c r="C51" s="1"/>
  <c r="B50"/>
  <c r="B51"/>
  <c r="B43"/>
  <c r="B41"/>
  <c r="B38"/>
  <c r="B36"/>
  <c r="D148" i="16"/>
  <c r="C148"/>
  <c r="B147"/>
  <c r="J146"/>
  <c r="H134"/>
  <c r="I134" s="1"/>
  <c r="I140" s="1"/>
  <c r="G134"/>
  <c r="G146" s="1"/>
  <c r="F146"/>
  <c r="E134"/>
  <c r="E146" s="1"/>
  <c r="D146"/>
  <c r="C146"/>
  <c r="B146"/>
  <c r="J145"/>
  <c r="H145"/>
  <c r="F145"/>
  <c r="E145"/>
  <c r="D145"/>
  <c r="C145"/>
  <c r="B145"/>
  <c r="J144"/>
  <c r="H132"/>
  <c r="H144" s="1"/>
  <c r="F144"/>
  <c r="E144"/>
  <c r="D144"/>
  <c r="C144"/>
  <c r="B144"/>
  <c r="D143"/>
  <c r="C143"/>
  <c r="B143"/>
  <c r="C135"/>
  <c r="I141" s="1"/>
  <c r="G141"/>
  <c r="F141"/>
  <c r="C141"/>
  <c r="B141"/>
  <c r="C134"/>
  <c r="J140" s="1"/>
  <c r="G140"/>
  <c r="F140"/>
  <c r="C140"/>
  <c r="B140"/>
  <c r="E139"/>
  <c r="D139"/>
  <c r="C139"/>
  <c r="B139"/>
  <c r="J138"/>
  <c r="F138"/>
  <c r="E138"/>
  <c r="D138"/>
  <c r="C138"/>
  <c r="B138"/>
  <c r="J137"/>
  <c r="I137"/>
  <c r="H137"/>
  <c r="G137"/>
  <c r="F137"/>
  <c r="E137"/>
  <c r="D137"/>
  <c r="C137"/>
  <c r="B137"/>
  <c r="B128"/>
  <c r="D127"/>
  <c r="B127"/>
  <c r="D126"/>
  <c r="C126"/>
  <c r="B126"/>
  <c r="J125"/>
  <c r="H113"/>
  <c r="G113"/>
  <c r="F125"/>
  <c r="E125"/>
  <c r="D125"/>
  <c r="C125"/>
  <c r="B125"/>
  <c r="C124"/>
  <c r="B124"/>
  <c r="C116"/>
  <c r="H122" s="1"/>
  <c r="J122"/>
  <c r="G122"/>
  <c r="F122"/>
  <c r="E122"/>
  <c r="C122"/>
  <c r="B122"/>
  <c r="C115"/>
  <c r="I121" s="1"/>
  <c r="G121"/>
  <c r="F121"/>
  <c r="C121"/>
  <c r="B121"/>
  <c r="G120"/>
  <c r="C120"/>
  <c r="B120"/>
  <c r="J119"/>
  <c r="H119"/>
  <c r="F119"/>
  <c r="E119"/>
  <c r="D119"/>
  <c r="C119"/>
  <c r="B119"/>
  <c r="J118"/>
  <c r="H118"/>
  <c r="G118"/>
  <c r="F118"/>
  <c r="E118"/>
  <c r="D118"/>
  <c r="C118"/>
  <c r="B118"/>
  <c r="J108"/>
  <c r="D107"/>
  <c r="C107"/>
  <c r="B107"/>
  <c r="D106"/>
  <c r="C106"/>
  <c r="B106"/>
  <c r="D105"/>
  <c r="C105"/>
  <c r="B105"/>
  <c r="D104"/>
  <c r="C104"/>
  <c r="B104"/>
  <c r="D103"/>
  <c r="C103"/>
  <c r="B103"/>
  <c r="P92"/>
  <c r="T88"/>
  <c r="R88"/>
  <c r="P88"/>
  <c r="T87"/>
  <c r="R87"/>
  <c r="Q87"/>
  <c r="P87"/>
  <c r="T86"/>
  <c r="S86"/>
  <c r="O86"/>
  <c r="T85"/>
  <c r="S85"/>
  <c r="P85"/>
  <c r="O85"/>
  <c r="J56"/>
  <c r="I56"/>
  <c r="H56"/>
  <c r="J55"/>
  <c r="I55"/>
  <c r="H55"/>
  <c r="Q50"/>
  <c r="P50"/>
  <c r="O50"/>
  <c r="N50"/>
  <c r="J43"/>
  <c r="I43"/>
  <c r="H43"/>
  <c r="J42"/>
  <c r="I42"/>
  <c r="H42"/>
  <c r="J41"/>
  <c r="I41"/>
  <c r="H41"/>
  <c r="Q36"/>
  <c r="P36"/>
  <c r="O36"/>
  <c r="Q35"/>
  <c r="P35"/>
  <c r="O35"/>
  <c r="N7"/>
  <c r="N35" s="1"/>
  <c r="J27"/>
  <c r="I27"/>
  <c r="H27"/>
  <c r="J26"/>
  <c r="I26"/>
  <c r="H26"/>
  <c r="Q21"/>
  <c r="P21"/>
  <c r="O21"/>
  <c r="N21"/>
  <c r="J15"/>
  <c r="I15"/>
  <c r="H15"/>
  <c r="J14"/>
  <c r="I14"/>
  <c r="H14"/>
  <c r="J13"/>
  <c r="I13"/>
  <c r="H13"/>
  <c r="Q8"/>
  <c r="P8"/>
  <c r="Q7"/>
  <c r="P7"/>
  <c r="O7"/>
  <c r="T13" i="7"/>
  <c r="AB7" i="5"/>
  <c r="AB8"/>
  <c r="AB9"/>
  <c r="AB10"/>
  <c r="AB11"/>
  <c r="AB12"/>
  <c r="AB7" i="4"/>
  <c r="AB8"/>
  <c r="AB9"/>
  <c r="AB10"/>
  <c r="AB11"/>
  <c r="AB12"/>
  <c r="AB6" i="5"/>
  <c r="AB6" i="4"/>
  <c r="AJ10" i="5"/>
  <c r="AB13" i="6"/>
  <c r="AB13" i="4"/>
  <c r="D13" i="5"/>
  <c r="AB13" s="1"/>
  <c r="T13" i="2"/>
  <c r="A4"/>
  <c r="A3" i="1"/>
  <c r="T12"/>
  <c r="M39"/>
  <c r="M59"/>
  <c r="AD11" i="5"/>
  <c r="AD8"/>
  <c r="AC12" i="4"/>
  <c r="AD8"/>
  <c r="AD7"/>
  <c r="AD9"/>
  <c r="AC10" i="19"/>
  <c r="AJ8" i="4"/>
  <c r="AJ6"/>
  <c r="P54" i="1"/>
  <c r="F41" i="29"/>
  <c r="E30"/>
  <c r="C49"/>
  <c r="AC9" i="4"/>
  <c r="I42" i="18"/>
  <c r="Q12" i="6"/>
  <c r="E21" i="29"/>
  <c r="E49" s="1"/>
  <c r="E19"/>
  <c r="E47" s="1"/>
  <c r="F19"/>
  <c r="F47" s="1"/>
  <c r="F5" i="21"/>
  <c r="AF12" i="5"/>
  <c r="AH11" i="4"/>
  <c r="D41" i="26"/>
  <c r="D54"/>
  <c r="Z20" i="6"/>
  <c r="AF7" i="4"/>
  <c r="S9" i="20"/>
  <c r="T54"/>
  <c r="T56"/>
  <c r="T18"/>
  <c r="S18"/>
  <c r="T20"/>
  <c r="S20"/>
  <c r="T22"/>
  <c r="T24"/>
  <c r="S24"/>
  <c r="S45"/>
  <c r="S19"/>
  <c r="S37"/>
  <c r="S36"/>
  <c r="S7"/>
  <c r="E42" i="26"/>
  <c r="E41"/>
  <c r="D53"/>
  <c r="C54"/>
  <c r="AF7" i="5"/>
  <c r="O58" i="2"/>
  <c r="T21" i="20"/>
  <c r="T44"/>
  <c r="T55"/>
  <c r="T7"/>
  <c r="T45"/>
  <c r="T35"/>
  <c r="T46"/>
  <c r="T57"/>
  <c r="T9"/>
  <c r="F40" i="29"/>
  <c r="I19"/>
  <c r="I47" s="1"/>
  <c r="P48" i="2"/>
  <c r="P47" s="1"/>
  <c r="N49" i="7"/>
  <c r="E11" i="5"/>
  <c r="F11" s="1"/>
  <c r="E11" i="6"/>
  <c r="I11" s="1"/>
  <c r="E6" i="4"/>
  <c r="O6" i="6"/>
  <c r="P6" s="1"/>
  <c r="E8" i="5"/>
  <c r="AC8" s="1"/>
  <c r="E8" i="6"/>
  <c r="H8" s="1"/>
  <c r="E8" i="4"/>
  <c r="G8" s="1"/>
  <c r="X44" i="20"/>
  <c r="X34"/>
  <c r="X23"/>
  <c r="X21"/>
  <c r="X19"/>
  <c r="S48" i="2"/>
  <c r="G12" i="4"/>
  <c r="E9" i="6"/>
  <c r="G9" s="1"/>
  <c r="O7" i="4"/>
  <c r="AE7" s="1"/>
  <c r="J14"/>
  <c r="J70" s="1"/>
  <c r="E7"/>
  <c r="F7" s="1"/>
  <c r="V12" i="6"/>
  <c r="U12" s="1"/>
  <c r="W12" s="1"/>
  <c r="P30" i="1"/>
  <c r="P33" s="1"/>
  <c r="P31"/>
  <c r="J13" i="5"/>
  <c r="AD13" s="1"/>
  <c r="R30" i="1"/>
  <c r="R33" s="1"/>
  <c r="R31"/>
  <c r="N30"/>
  <c r="N33" s="1"/>
  <c r="N34" s="1"/>
  <c r="N31"/>
  <c r="Q37" i="7"/>
  <c r="X21" i="5" s="1"/>
  <c r="Q48" i="2"/>
  <c r="Q60" s="1"/>
  <c r="O48"/>
  <c r="O47" s="1"/>
  <c r="N53" i="7"/>
  <c r="R52" i="2"/>
  <c r="R55" s="1"/>
  <c r="P52"/>
  <c r="N52"/>
  <c r="N58" s="1"/>
  <c r="S46"/>
  <c r="S58" s="1"/>
  <c r="O9" i="4"/>
  <c r="P9" s="1"/>
  <c r="P13" i="1"/>
  <c r="R28" i="2"/>
  <c r="P32"/>
  <c r="P35" s="1"/>
  <c r="Q26"/>
  <c r="Q14"/>
  <c r="R32" i="7"/>
  <c r="R35" s="1"/>
  <c r="N32"/>
  <c r="N35" s="1"/>
  <c r="S26"/>
  <c r="Q26"/>
  <c r="S18" i="2"/>
  <c r="Q18"/>
  <c r="J37" i="5"/>
  <c r="N7" i="4"/>
  <c r="S7"/>
  <c r="G60"/>
  <c r="R58" i="2"/>
  <c r="N55"/>
  <c r="H9" i="5"/>
  <c r="G9"/>
  <c r="F9"/>
  <c r="F8" i="4"/>
  <c r="R6" i="6"/>
  <c r="H11"/>
  <c r="P14" i="1"/>
  <c r="S47" i="2"/>
  <c r="S59" s="1"/>
  <c r="G7" i="4"/>
  <c r="I10"/>
  <c r="H11" i="5"/>
  <c r="L9" i="4"/>
  <c r="R7"/>
  <c r="R9" l="1"/>
  <c r="AC11" i="5"/>
  <c r="I11"/>
  <c r="I8" i="4"/>
  <c r="G48" i="6"/>
  <c r="W74" i="5"/>
  <c r="X57"/>
  <c r="N48" i="4"/>
  <c r="G36" i="6"/>
  <c r="Q68" i="4"/>
  <c r="O59" i="2"/>
  <c r="O49"/>
  <c r="M46" i="7"/>
  <c r="M45"/>
  <c r="M52"/>
  <c r="M51"/>
  <c r="M45" i="2"/>
  <c r="M46"/>
  <c r="M44" i="1"/>
  <c r="M45"/>
  <c r="M57" s="1"/>
  <c r="M25"/>
  <c r="M37" s="1"/>
  <c r="M24"/>
  <c r="M32" i="2"/>
  <c r="M31"/>
  <c r="M12"/>
  <c r="M11"/>
  <c r="M26" i="7"/>
  <c r="M25"/>
  <c r="M12"/>
  <c r="M11"/>
  <c r="P58" i="2"/>
  <c r="R38" i="7"/>
  <c r="T10" i="19"/>
  <c r="I21" i="29" s="1"/>
  <c r="I49" s="1"/>
  <c r="T36" i="20"/>
  <c r="S5"/>
  <c r="X45" i="19"/>
  <c r="W55"/>
  <c r="M51" i="2"/>
  <c r="M52"/>
  <c r="M4" i="1"/>
  <c r="M5"/>
  <c r="M17" s="1"/>
  <c r="M26" i="2"/>
  <c r="M25"/>
  <c r="M6"/>
  <c r="M5"/>
  <c r="M32" i="7"/>
  <c r="M31"/>
  <c r="M35" s="1"/>
  <c r="M6"/>
  <c r="M5"/>
  <c r="AG59" i="20"/>
  <c r="S54"/>
  <c r="T33" i="6"/>
  <c r="W10" i="19"/>
  <c r="O38" i="2"/>
  <c r="S57" i="20"/>
  <c r="AC18"/>
  <c r="P59" i="19"/>
  <c r="E26" i="29" s="1"/>
  <c r="K9" i="4"/>
  <c r="J14" i="6"/>
  <c r="J71" s="1"/>
  <c r="X57" i="4"/>
  <c r="F58" i="6"/>
  <c r="S34"/>
  <c r="G58" i="4"/>
  <c r="R47" i="6"/>
  <c r="K52"/>
  <c r="X74" i="5"/>
  <c r="S9" i="4"/>
  <c r="V57" i="6"/>
  <c r="V61" s="1"/>
  <c r="P36" i="4"/>
  <c r="U74" i="5"/>
  <c r="R48"/>
  <c r="I27" i="22"/>
  <c r="B39"/>
  <c r="D41" s="1"/>
  <c r="E76"/>
  <c r="G76" s="1"/>
  <c r="S49" i="2"/>
  <c r="H36" i="6"/>
  <c r="I36"/>
  <c r="M59"/>
  <c r="L59"/>
  <c r="N59"/>
  <c r="K59"/>
  <c r="S34" i="5"/>
  <c r="Q34"/>
  <c r="F10" i="4"/>
  <c r="H10"/>
  <c r="AC10"/>
  <c r="G10"/>
  <c r="N19" i="1"/>
  <c r="F35" i="5"/>
  <c r="P53" i="7"/>
  <c r="P56" s="1"/>
  <c r="O36" i="1"/>
  <c r="J19" i="5" s="1"/>
  <c r="T6" i="2"/>
  <c r="AD10" i="4"/>
  <c r="T20" i="19"/>
  <c r="I4" i="29" s="1"/>
  <c r="I32" s="1"/>
  <c r="T24" i="19"/>
  <c r="I18" i="29" s="1"/>
  <c r="I46" s="1"/>
  <c r="D21"/>
  <c r="D49" s="1"/>
  <c r="Y46" i="20"/>
  <c r="Y9"/>
  <c r="W46"/>
  <c r="Q53" i="7"/>
  <c r="O10" i="6"/>
  <c r="R10" s="1"/>
  <c r="F60" i="4"/>
  <c r="O18" i="7"/>
  <c r="G10" i="21"/>
  <c r="U68" i="5" s="1"/>
  <c r="U69" i="4" s="1"/>
  <c r="O38" i="5"/>
  <c r="R38" s="1"/>
  <c r="R37" s="1"/>
  <c r="M58" i="4"/>
  <c r="Q52" i="6"/>
  <c r="Q60"/>
  <c r="R58" i="5"/>
  <c r="W18" i="19"/>
  <c r="X47"/>
  <c r="X33"/>
  <c r="X22"/>
  <c r="L7" i="4"/>
  <c r="N14" i="1"/>
  <c r="H48" i="4"/>
  <c r="Q9"/>
  <c r="O26" i="7"/>
  <c r="O38" s="1"/>
  <c r="P32"/>
  <c r="P35" s="1"/>
  <c r="O7" i="5"/>
  <c r="K7" s="1"/>
  <c r="R53" i="7"/>
  <c r="R37"/>
  <c r="X22" i="5" s="1"/>
  <c r="P34" i="1"/>
  <c r="P56"/>
  <c r="J20" i="6" s="1"/>
  <c r="X9" i="20"/>
  <c r="X25"/>
  <c r="O6" i="5"/>
  <c r="R6" s="1"/>
  <c r="T25" i="20"/>
  <c r="S6"/>
  <c r="S23"/>
  <c r="S25"/>
  <c r="Q56" i="7"/>
  <c r="E5" i="21"/>
  <c r="J5"/>
  <c r="U36" i="20"/>
  <c r="D24" i="29"/>
  <c r="D52" s="1"/>
  <c r="F17"/>
  <c r="F45" s="1"/>
  <c r="F10"/>
  <c r="F38" s="1"/>
  <c r="F6"/>
  <c r="F34" s="1"/>
  <c r="AD10" i="19"/>
  <c r="AF59"/>
  <c r="X54" i="20"/>
  <c r="X36"/>
  <c r="X18"/>
  <c r="Y45"/>
  <c r="Y24"/>
  <c r="AE36"/>
  <c r="AE9"/>
  <c r="W55"/>
  <c r="W21"/>
  <c r="W6"/>
  <c r="I58" i="6"/>
  <c r="O53" i="7"/>
  <c r="O56" s="1"/>
  <c r="AF19" i="20"/>
  <c r="N45" i="1"/>
  <c r="S10"/>
  <c r="S13" s="1"/>
  <c r="S32" i="2"/>
  <c r="S35" s="1"/>
  <c r="Q5"/>
  <c r="Q8" s="1"/>
  <c r="Q7" s="1"/>
  <c r="O31" i="7"/>
  <c r="O11"/>
  <c r="H35" i="4"/>
  <c r="H58" i="6"/>
  <c r="G60"/>
  <c r="V47" i="19"/>
  <c r="V18"/>
  <c r="W33"/>
  <c r="AB25"/>
  <c r="AB33"/>
  <c r="L34" i="6"/>
  <c r="O28" i="7"/>
  <c r="X57" i="20"/>
  <c r="T23"/>
  <c r="S47"/>
  <c r="X22"/>
  <c r="Y25"/>
  <c r="AD9"/>
  <c r="AE33"/>
  <c r="G36" i="4"/>
  <c r="T5" i="1"/>
  <c r="S18" i="7"/>
  <c r="W61" i="4"/>
  <c r="L47"/>
  <c r="S52"/>
  <c r="S47" i="6"/>
  <c r="Q59"/>
  <c r="M47" i="5"/>
  <c r="G52"/>
  <c r="U57"/>
  <c r="X57" i="19"/>
  <c r="X37"/>
  <c r="X18"/>
  <c r="M7" i="4"/>
  <c r="N6" i="5"/>
  <c r="K7" i="4"/>
  <c r="V6"/>
  <c r="AH6" s="1"/>
  <c r="O9" i="5"/>
  <c r="Q34" i="6"/>
  <c r="T37" i="20"/>
  <c r="T47"/>
  <c r="T19"/>
  <c r="S21"/>
  <c r="F2" i="29"/>
  <c r="F30" s="1"/>
  <c r="X8" i="19"/>
  <c r="S22" i="20"/>
  <c r="F16" i="29"/>
  <c r="F44" s="1"/>
  <c r="E17"/>
  <c r="E45" s="1"/>
  <c r="F15"/>
  <c r="F43" s="1"/>
  <c r="F5"/>
  <c r="F33" s="1"/>
  <c r="D13"/>
  <c r="D41" s="1"/>
  <c r="T55" i="19"/>
  <c r="I12" i="29" s="1"/>
  <c r="I40" s="1"/>
  <c r="E6"/>
  <c r="E34" s="1"/>
  <c r="T44" i="19"/>
  <c r="I6" i="29" s="1"/>
  <c r="I34" s="1"/>
  <c r="T56" i="19"/>
  <c r="I9" i="29" s="1"/>
  <c r="I37" s="1"/>
  <c r="X46" i="20"/>
  <c r="X35"/>
  <c r="Y55"/>
  <c r="Y36"/>
  <c r="Y21"/>
  <c r="AD44"/>
  <c r="AD23"/>
  <c r="AD19"/>
  <c r="W54"/>
  <c r="W36"/>
  <c r="AF54"/>
  <c r="AF22"/>
  <c r="AF18" s="1"/>
  <c r="S25" i="1"/>
  <c r="P19"/>
  <c r="R11" i="2"/>
  <c r="R14" s="1"/>
  <c r="Q32" i="7"/>
  <c r="S11"/>
  <c r="S14" s="1"/>
  <c r="Q11"/>
  <c r="Q14" s="1"/>
  <c r="F52" i="4"/>
  <c r="V57" i="19"/>
  <c r="V22"/>
  <c r="W22"/>
  <c r="T11" i="1"/>
  <c r="R38" i="4"/>
  <c r="R37" s="1"/>
  <c r="S38"/>
  <c r="S37" s="1"/>
  <c r="Q38"/>
  <c r="Q37" s="1"/>
  <c r="P38"/>
  <c r="P37" s="1"/>
  <c r="P50"/>
  <c r="O49"/>
  <c r="P59"/>
  <c r="Q59"/>
  <c r="S59"/>
  <c r="P51" i="6"/>
  <c r="S51"/>
  <c r="R51"/>
  <c r="X74"/>
  <c r="N34" i="20"/>
  <c r="T34" s="1"/>
  <c r="O59" i="19"/>
  <c r="D26" i="29" s="1"/>
  <c r="T34" i="19"/>
  <c r="I17" i="29" s="1"/>
  <c r="I45" s="1"/>
  <c r="D17"/>
  <c r="D45" s="1"/>
  <c r="S20" i="2"/>
  <c r="R48"/>
  <c r="R60" s="1"/>
  <c r="R57"/>
  <c r="T22" i="6" s="1"/>
  <c r="T5" i="20"/>
  <c r="AD33"/>
  <c r="AE54"/>
  <c r="AE6"/>
  <c r="W23"/>
  <c r="W5"/>
  <c r="P60" i="6"/>
  <c r="G58"/>
  <c r="P47"/>
  <c r="H48"/>
  <c r="R51" i="1"/>
  <c r="Q16"/>
  <c r="J21" i="4" s="1"/>
  <c r="O10" i="1"/>
  <c r="N11" i="2"/>
  <c r="O5" i="7"/>
  <c r="T5" s="1"/>
  <c r="L58" i="4"/>
  <c r="N58"/>
  <c r="V44" i="19"/>
  <c r="V45"/>
  <c r="W45"/>
  <c r="W24"/>
  <c r="W6"/>
  <c r="X61" i="5"/>
  <c r="X10" i="19"/>
  <c r="F21" i="29"/>
  <c r="F49" s="1"/>
  <c r="X5" i="20"/>
  <c r="AD45"/>
  <c r="AD20"/>
  <c r="W34"/>
  <c r="I48" i="6"/>
  <c r="O47" i="7"/>
  <c r="Q46" i="2"/>
  <c r="N51" i="1"/>
  <c r="N57" s="1"/>
  <c r="R10"/>
  <c r="P16"/>
  <c r="J20" i="4" s="1"/>
  <c r="O20" s="1"/>
  <c r="K20" s="1"/>
  <c r="P5" i="2"/>
  <c r="P8" s="1"/>
  <c r="N20" i="7"/>
  <c r="V74" i="5"/>
  <c r="K58" i="4"/>
  <c r="K57" s="1"/>
  <c r="P52"/>
  <c r="R52" i="5"/>
  <c r="S48" i="4"/>
  <c r="AC5" i="20"/>
  <c r="T38" i="5"/>
  <c r="T37" s="1"/>
  <c r="M36" i="4"/>
  <c r="V37" i="19"/>
  <c r="AD56"/>
  <c r="AD46"/>
  <c r="AD36"/>
  <c r="AD25"/>
  <c r="AD21"/>
  <c r="AD7"/>
  <c r="R56" i="7"/>
  <c r="H9" i="6"/>
  <c r="R59" i="7"/>
  <c r="Q14" i="1"/>
  <c r="Q59" i="19"/>
  <c r="F26" i="29" s="1"/>
  <c r="AD54" i="20"/>
  <c r="AD6"/>
  <c r="AE45"/>
  <c r="AE20"/>
  <c r="W44"/>
  <c r="W19"/>
  <c r="N47" i="7"/>
  <c r="Q48" i="4"/>
  <c r="R48"/>
  <c r="AB56" i="19"/>
  <c r="AB46"/>
  <c r="AB36"/>
  <c r="AC36"/>
  <c r="H107" i="16"/>
  <c r="J28" i="18" s="1"/>
  <c r="J25" s="1"/>
  <c r="H128" i="16"/>
  <c r="I6" i="5"/>
  <c r="Q27" i="7"/>
  <c r="Q39" s="1"/>
  <c r="E20" i="6"/>
  <c r="F20" s="1"/>
  <c r="I8" i="5"/>
  <c r="F120" i="16"/>
  <c r="J120"/>
  <c r="I132"/>
  <c r="G145"/>
  <c r="B39" i="17"/>
  <c r="L42" i="18"/>
  <c r="G8" i="22"/>
  <c r="G10"/>
  <c r="I143" i="16"/>
  <c r="H103"/>
  <c r="R85" s="1"/>
  <c r="G96"/>
  <c r="G103" s="1"/>
  <c r="I37" i="17"/>
  <c r="I42"/>
  <c r="E127" i="16"/>
  <c r="E106"/>
  <c r="O88" s="1"/>
  <c r="F107"/>
  <c r="J107"/>
  <c r="D26" i="6"/>
  <c r="D30" i="4"/>
  <c r="D77" s="1"/>
  <c r="C33" i="17"/>
  <c r="C43"/>
  <c r="H104" i="16"/>
  <c r="H109" s="1"/>
  <c r="G97"/>
  <c r="G104" s="1"/>
  <c r="Q86" s="1"/>
  <c r="D31" i="17"/>
  <c r="D36"/>
  <c r="AC6" i="5"/>
  <c r="L6" i="6"/>
  <c r="H8" i="5"/>
  <c r="P7" i="4"/>
  <c r="G11" i="5"/>
  <c r="P7"/>
  <c r="Q15" i="2"/>
  <c r="G8" i="6"/>
  <c r="Q7" i="4"/>
  <c r="C42" i="26"/>
  <c r="C53"/>
  <c r="D120" i="16"/>
  <c r="H120"/>
  <c r="H121"/>
  <c r="G125"/>
  <c r="H138"/>
  <c r="H140"/>
  <c r="H141"/>
  <c r="G132"/>
  <c r="H146"/>
  <c r="B37" i="17"/>
  <c r="B42"/>
  <c r="F51"/>
  <c r="G7" i="22"/>
  <c r="F17"/>
  <c r="T19" s="1"/>
  <c r="T20" s="1"/>
  <c r="D17"/>
  <c r="B16" s="1"/>
  <c r="D16" s="1"/>
  <c r="H143" i="16"/>
  <c r="G39" i="17"/>
  <c r="G44"/>
  <c r="B34"/>
  <c r="G6" i="5"/>
  <c r="F8"/>
  <c r="E120" i="16"/>
  <c r="D121"/>
  <c r="J121"/>
  <c r="D122"/>
  <c r="H125"/>
  <c r="D140"/>
  <c r="D141"/>
  <c r="J141"/>
  <c r="J51" i="17"/>
  <c r="H139" i="16"/>
  <c r="J43" i="18" s="1"/>
  <c r="J41" s="1"/>
  <c r="H7" i="22"/>
  <c r="B9"/>
  <c r="L13" i="18"/>
  <c r="G124" i="16"/>
  <c r="I32" i="17"/>
  <c r="J37"/>
  <c r="H39"/>
  <c r="H37"/>
  <c r="H32"/>
  <c r="G36"/>
  <c r="G31"/>
  <c r="E148" i="16"/>
  <c r="E143"/>
  <c r="F34" i="17"/>
  <c r="F44"/>
  <c r="E31"/>
  <c r="E41"/>
  <c r="K27" i="22"/>
  <c r="C153" i="16"/>
  <c r="E154"/>
  <c r="I127"/>
  <c r="I13" i="18"/>
  <c r="G42" i="17"/>
  <c r="F67"/>
  <c r="D67"/>
  <c r="E105" i="16"/>
  <c r="O87" s="1"/>
  <c r="E39" i="17"/>
  <c r="E32"/>
  <c r="D32"/>
  <c r="C34"/>
  <c r="C37"/>
  <c r="Q28" i="4"/>
  <c r="K28"/>
  <c r="T18" i="19"/>
  <c r="X33" i="20"/>
  <c r="Y44"/>
  <c r="Y33"/>
  <c r="Y22"/>
  <c r="Y18"/>
  <c r="Y5"/>
  <c r="K24" i="31"/>
  <c r="K25" s="1"/>
  <c r="W45" i="20"/>
  <c r="W35"/>
  <c r="S53" i="7"/>
  <c r="P47"/>
  <c r="P59" s="1"/>
  <c r="S51" i="1"/>
  <c r="S50"/>
  <c r="S53" s="1"/>
  <c r="O31"/>
  <c r="O34" s="1"/>
  <c r="R17" i="2"/>
  <c r="T22" i="4" s="1"/>
  <c r="N17" i="2"/>
  <c r="T18" i="4" s="1"/>
  <c r="P12" i="2"/>
  <c r="P11"/>
  <c r="X7" i="20"/>
  <c r="V10" i="5"/>
  <c r="AH10" s="1"/>
  <c r="Q45" i="1"/>
  <c r="Q57" s="1"/>
  <c r="N24"/>
  <c r="N25"/>
  <c r="N37" s="1"/>
  <c r="S58" i="4"/>
  <c r="Q58"/>
  <c r="P58"/>
  <c r="R58"/>
  <c r="I36"/>
  <c r="F36"/>
  <c r="AC36" i="20"/>
  <c r="AF36"/>
  <c r="AC9"/>
  <c r="AF9"/>
  <c r="J44" i="17"/>
  <c r="J67"/>
  <c r="C67"/>
  <c r="G13" i="18"/>
  <c r="E107" i="16"/>
  <c r="D39" i="17"/>
  <c r="C36"/>
  <c r="S28" i="4"/>
  <c r="L28"/>
  <c r="E124" i="16"/>
  <c r="X20" i="20"/>
  <c r="Y57"/>
  <c r="Y34"/>
  <c r="Y23"/>
  <c r="Y19"/>
  <c r="Y6"/>
  <c r="W24"/>
  <c r="W20"/>
  <c r="Q47" i="7"/>
  <c r="Q59" s="1"/>
  <c r="Q52" i="2"/>
  <c r="Q31" i="1"/>
  <c r="Q34" s="1"/>
  <c r="P25" i="7"/>
  <c r="P26"/>
  <c r="P38" s="1"/>
  <c r="AC46" i="20"/>
  <c r="AF46"/>
  <c r="L52" i="5"/>
  <c r="L36" i="4"/>
  <c r="Q52" i="5"/>
  <c r="S47"/>
  <c r="N52"/>
  <c r="K52"/>
  <c r="V56" i="19"/>
  <c r="AE37"/>
  <c r="AB37"/>
  <c r="AC37"/>
  <c r="AE22"/>
  <c r="AB22"/>
  <c r="AE18"/>
  <c r="AB18"/>
  <c r="S50" i="4"/>
  <c r="R50"/>
  <c r="Q50"/>
  <c r="Y46" i="19"/>
  <c r="W46"/>
  <c r="Y36"/>
  <c r="W36"/>
  <c r="Y25"/>
  <c r="W25"/>
  <c r="Y21"/>
  <c r="W21"/>
  <c r="Y7"/>
  <c r="W7"/>
  <c r="N60" i="4"/>
  <c r="P52" i="6"/>
  <c r="Q35" i="5"/>
  <c r="V36" i="19"/>
  <c r="AE45"/>
  <c r="AB45"/>
  <c r="AC45"/>
  <c r="AE35"/>
  <c r="AB35"/>
  <c r="AE24"/>
  <c r="AB24"/>
  <c r="AE20"/>
  <c r="AB20"/>
  <c r="O10" i="4"/>
  <c r="K10" s="1"/>
  <c r="S4" i="1"/>
  <c r="S16" s="1"/>
  <c r="J23" i="4" s="1"/>
  <c r="Q6" i="1"/>
  <c r="O4"/>
  <c r="S17" i="2"/>
  <c r="T23" i="4" s="1"/>
  <c r="O5" i="2"/>
  <c r="K36" i="4"/>
  <c r="R59"/>
  <c r="AB8" i="19"/>
  <c r="AC6" i="20"/>
  <c r="L34" i="5"/>
  <c r="R50"/>
  <c r="K47" i="4"/>
  <c r="S60" i="6"/>
  <c r="Q51"/>
  <c r="Y44" i="19"/>
  <c r="W44"/>
  <c r="Y34"/>
  <c r="W34"/>
  <c r="Y23"/>
  <c r="W23"/>
  <c r="Y19"/>
  <c r="W19"/>
  <c r="R36" i="4"/>
  <c r="AC45" i="20"/>
  <c r="AC37"/>
  <c r="T46" i="4"/>
  <c r="H51" i="6"/>
  <c r="H49" s="1"/>
  <c r="AB57" i="19"/>
  <c r="AB47"/>
  <c r="AD57"/>
  <c r="AD47"/>
  <c r="AD37"/>
  <c r="AD33"/>
  <c r="AD22"/>
  <c r="AD18"/>
  <c r="AB55"/>
  <c r="AB6"/>
  <c r="AD55"/>
  <c r="AD45"/>
  <c r="AD35"/>
  <c r="AD24"/>
  <c r="AD20"/>
  <c r="AD6"/>
  <c r="AJ9" i="5"/>
  <c r="V9"/>
  <c r="Q28" i="2"/>
  <c r="Q27"/>
  <c r="Q39" s="1"/>
  <c r="Q37"/>
  <c r="T21" i="5" s="1"/>
  <c r="O28" i="2"/>
  <c r="P59"/>
  <c r="P49"/>
  <c r="R10" i="4"/>
  <c r="AE10"/>
  <c r="Q34" i="2"/>
  <c r="H34" i="5"/>
  <c r="I34"/>
  <c r="G34"/>
  <c r="F34"/>
  <c r="R47" i="2"/>
  <c r="AC57" i="20"/>
  <c r="R15" i="7"/>
  <c r="Z59" i="19"/>
  <c r="N24" i="31"/>
  <c r="N25" s="1"/>
  <c r="S47" i="7"/>
  <c r="S59" s="1"/>
  <c r="S51" i="2"/>
  <c r="O58" i="7"/>
  <c r="X19" i="6" s="1"/>
  <c r="Q32" i="2"/>
  <c r="Q38" s="1"/>
  <c r="R26"/>
  <c r="O31"/>
  <c r="O37" s="1"/>
  <c r="T19" i="5" s="1"/>
  <c r="O19" s="1"/>
  <c r="K19" s="1"/>
  <c r="N17" i="7"/>
  <c r="X18" i="4" s="1"/>
  <c r="C41" i="27"/>
  <c r="I60" i="5"/>
  <c r="S68" i="4"/>
  <c r="P54" i="2"/>
  <c r="P55" s="1"/>
  <c r="P57"/>
  <c r="T20" i="6" s="1"/>
  <c r="O20" s="1"/>
  <c r="O54" i="2"/>
  <c r="O55" s="1"/>
  <c r="T51"/>
  <c r="N55" i="7"/>
  <c r="T52"/>
  <c r="N58"/>
  <c r="X18" i="6" s="1"/>
  <c r="S10"/>
  <c r="AD11" i="4"/>
  <c r="J13"/>
  <c r="AD13" s="1"/>
  <c r="AD18" s="1"/>
  <c r="AJ12" i="5"/>
  <c r="V12"/>
  <c r="O8" i="4"/>
  <c r="M8" s="1"/>
  <c r="T14"/>
  <c r="B6" i="24" s="1"/>
  <c r="B6" i="26" s="1"/>
  <c r="X14" i="4"/>
  <c r="X70" s="1"/>
  <c r="AJ9"/>
  <c r="R53" i="1"/>
  <c r="R54" s="1"/>
  <c r="N53"/>
  <c r="N54" s="1"/>
  <c r="S27"/>
  <c r="S26" s="1"/>
  <c r="S36"/>
  <c r="J23" i="5" s="1"/>
  <c r="N37" i="2"/>
  <c r="T18" i="5" s="1"/>
  <c r="N28" i="2"/>
  <c r="R7"/>
  <c r="R20"/>
  <c r="Q19"/>
  <c r="Q9"/>
  <c r="Q21" s="1"/>
  <c r="P7"/>
  <c r="S34" i="7"/>
  <c r="T12"/>
  <c r="N15"/>
  <c r="I59" i="5"/>
  <c r="G59"/>
  <c r="H59"/>
  <c r="AD59" i="20"/>
  <c r="AD59" i="19"/>
  <c r="S55" i="7"/>
  <c r="S56" s="1"/>
  <c r="P58"/>
  <c r="X20" i="6" s="1"/>
  <c r="P49" i="7"/>
  <c r="T45" i="2"/>
  <c r="N57"/>
  <c r="T18" i="6" s="1"/>
  <c r="N48" i="2"/>
  <c r="N47" s="1"/>
  <c r="R56" i="1"/>
  <c r="J22" i="6" s="1"/>
  <c r="E22" i="5" s="1"/>
  <c r="R47" i="1"/>
  <c r="N56"/>
  <c r="J18" i="6" s="1"/>
  <c r="E18" i="5" s="1"/>
  <c r="N47" i="1"/>
  <c r="S33"/>
  <c r="T33" s="1"/>
  <c r="T30"/>
  <c r="N34" i="2"/>
  <c r="N35" s="1"/>
  <c r="S37" i="7"/>
  <c r="X23" i="5" s="1"/>
  <c r="S28" i="7"/>
  <c r="R7"/>
  <c r="R20"/>
  <c r="P7"/>
  <c r="P19" s="1"/>
  <c r="N18"/>
  <c r="T6"/>
  <c r="N7"/>
  <c r="N19" s="1"/>
  <c r="Z59" i="20"/>
  <c r="T28" i="6" s="1"/>
  <c r="U28" s="1"/>
  <c r="V28" s="1"/>
  <c r="W28" s="1"/>
  <c r="X28" s="1"/>
  <c r="Y59" i="19"/>
  <c r="J28" i="6" s="1"/>
  <c r="E28" s="1"/>
  <c r="R40" i="7"/>
  <c r="X55" i="20"/>
  <c r="X47"/>
  <c r="X6"/>
  <c r="Y47"/>
  <c r="Y37"/>
  <c r="AA59"/>
  <c r="P24" i="31"/>
  <c r="P25" s="1"/>
  <c r="L24"/>
  <c r="L25" s="1"/>
  <c r="J24"/>
  <c r="J25" s="1"/>
  <c r="I24"/>
  <c r="I25" s="1"/>
  <c r="O57" i="2"/>
  <c r="T19" i="6" s="1"/>
  <c r="M62" i="7"/>
  <c r="X17" i="6" s="1"/>
  <c r="S44" i="1"/>
  <c r="S56" s="1"/>
  <c r="J23" i="6" s="1"/>
  <c r="R45" i="1"/>
  <c r="R57" s="1"/>
  <c r="O45"/>
  <c r="Q50"/>
  <c r="S31"/>
  <c r="S34" s="1"/>
  <c r="O25"/>
  <c r="N16"/>
  <c r="N26" i="2"/>
  <c r="O14"/>
  <c r="P17"/>
  <c r="T20" i="4" s="1"/>
  <c r="S32" i="7"/>
  <c r="AB10" i="19"/>
  <c r="AC25" i="20"/>
  <c r="R18" i="2"/>
  <c r="N18"/>
  <c r="Q18" i="7"/>
  <c r="S35" i="5"/>
  <c r="O37" i="4"/>
  <c r="T46" i="6"/>
  <c r="T37"/>
  <c r="T32" s="1"/>
  <c r="W57" i="19"/>
  <c r="W47"/>
  <c r="X56"/>
  <c r="X54"/>
  <c r="X46"/>
  <c r="X44"/>
  <c r="X36"/>
  <c r="X34"/>
  <c r="X25"/>
  <c r="X23"/>
  <c r="X21"/>
  <c r="X19"/>
  <c r="X7"/>
  <c r="V34"/>
  <c r="R34" i="1"/>
  <c r="O24" i="31"/>
  <c r="O25" s="1"/>
  <c r="M24"/>
  <c r="M25" s="1"/>
  <c r="V10" i="6"/>
  <c r="U10" s="1"/>
  <c r="W10" s="1"/>
  <c r="O8"/>
  <c r="O7"/>
  <c r="R7" s="1"/>
  <c r="V9" i="4"/>
  <c r="N7" i="2"/>
  <c r="R17" i="7"/>
  <c r="X22" i="4" s="1"/>
  <c r="S17" i="1"/>
  <c r="Q17"/>
  <c r="O17"/>
  <c r="S7" i="2"/>
  <c r="R18" i="7"/>
  <c r="W56" i="19"/>
  <c r="W54"/>
  <c r="AC34"/>
  <c r="AC25"/>
  <c r="AC23"/>
  <c r="AC21"/>
  <c r="AC19"/>
  <c r="AC7"/>
  <c r="F55" i="6"/>
  <c r="I20"/>
  <c r="F6" i="5"/>
  <c r="K6"/>
  <c r="F9" i="6"/>
  <c r="AC7" i="4"/>
  <c r="I7"/>
  <c r="F11" i="6"/>
  <c r="I8"/>
  <c r="F8"/>
  <c r="H8" i="4"/>
  <c r="X57" i="6"/>
  <c r="X61" s="1"/>
  <c r="O11"/>
  <c r="Q11" s="1"/>
  <c r="D10" i="24"/>
  <c r="D10" i="26" s="1"/>
  <c r="I9" i="5"/>
  <c r="P34"/>
  <c r="W53" i="4"/>
  <c r="W74" s="1"/>
  <c r="P52" i="5"/>
  <c r="M52"/>
  <c r="R34" i="6"/>
  <c r="F59" i="5"/>
  <c r="H52"/>
  <c r="E49"/>
  <c r="D43" i="27"/>
  <c r="V53" i="6"/>
  <c r="V74" s="1"/>
  <c r="T13"/>
  <c r="C4" i="24" s="1"/>
  <c r="U57" i="4"/>
  <c r="U61" s="1"/>
  <c r="N36"/>
  <c r="T37"/>
  <c r="E37" i="6"/>
  <c r="E37" i="5"/>
  <c r="AF13" i="6"/>
  <c r="M7" i="5"/>
  <c r="Q7"/>
  <c r="R7"/>
  <c r="T70" i="4"/>
  <c r="I6"/>
  <c r="G6"/>
  <c r="AC6"/>
  <c r="O71"/>
  <c r="Q69"/>
  <c r="J42" i="18"/>
  <c r="J36"/>
  <c r="T14" i="6"/>
  <c r="V9"/>
  <c r="U9" s="1"/>
  <c r="S7"/>
  <c r="P7"/>
  <c r="K48" i="5"/>
  <c r="M48"/>
  <c r="M46" s="1"/>
  <c r="N48"/>
  <c r="L36"/>
  <c r="K36"/>
  <c r="F36"/>
  <c r="F33" s="1"/>
  <c r="M36"/>
  <c r="H36"/>
  <c r="S59"/>
  <c r="Q59"/>
  <c r="K59"/>
  <c r="N59"/>
  <c r="S50"/>
  <c r="P50"/>
  <c r="O49"/>
  <c r="S38"/>
  <c r="S37" s="1"/>
  <c r="Q38"/>
  <c r="Q37" s="1"/>
  <c r="S60"/>
  <c r="R60"/>
  <c r="P60"/>
  <c r="S51"/>
  <c r="P51"/>
  <c r="J49"/>
  <c r="I51"/>
  <c r="I49" s="1"/>
  <c r="N51"/>
  <c r="N49" s="1"/>
  <c r="H51"/>
  <c r="G51"/>
  <c r="L51"/>
  <c r="M51"/>
  <c r="M49" s="1"/>
  <c r="L34" i="4"/>
  <c r="N34"/>
  <c r="K34"/>
  <c r="M34"/>
  <c r="N52"/>
  <c r="M52"/>
  <c r="R52"/>
  <c r="K52"/>
  <c r="Q52"/>
  <c r="L52"/>
  <c r="O46"/>
  <c r="Q47"/>
  <c r="Q46" s="1"/>
  <c r="S47"/>
  <c r="S46" s="1"/>
  <c r="P47"/>
  <c r="P46" s="1"/>
  <c r="M47"/>
  <c r="R47"/>
  <c r="Q34"/>
  <c r="O33"/>
  <c r="I60" i="6"/>
  <c r="F60"/>
  <c r="H34"/>
  <c r="I34"/>
  <c r="F34"/>
  <c r="G52"/>
  <c r="L52"/>
  <c r="M52"/>
  <c r="F52"/>
  <c r="F47"/>
  <c r="F46" s="1"/>
  <c r="L47"/>
  <c r="J46"/>
  <c r="H47"/>
  <c r="I47"/>
  <c r="I46" s="1"/>
  <c r="K47"/>
  <c r="G47"/>
  <c r="K35"/>
  <c r="G35"/>
  <c r="M35"/>
  <c r="H35"/>
  <c r="O57"/>
  <c r="L58"/>
  <c r="Q58"/>
  <c r="Q57" s="1"/>
  <c r="R58"/>
  <c r="K58"/>
  <c r="N58"/>
  <c r="K48"/>
  <c r="P48"/>
  <c r="S48"/>
  <c r="S46" s="1"/>
  <c r="L48"/>
  <c r="M48"/>
  <c r="N48"/>
  <c r="R48"/>
  <c r="R46" s="1"/>
  <c r="K36"/>
  <c r="R36"/>
  <c r="M36"/>
  <c r="P36"/>
  <c r="S59"/>
  <c r="P59"/>
  <c r="R59"/>
  <c r="R50"/>
  <c r="P50"/>
  <c r="P49" s="1"/>
  <c r="S50"/>
  <c r="T49"/>
  <c r="Q50"/>
  <c r="S35" i="4"/>
  <c r="L35"/>
  <c r="N35"/>
  <c r="G60" i="5"/>
  <c r="F60"/>
  <c r="E57"/>
  <c r="H58"/>
  <c r="G58"/>
  <c r="G57" s="1"/>
  <c r="D65"/>
  <c r="D30"/>
  <c r="AE7"/>
  <c r="N7"/>
  <c r="I58"/>
  <c r="I57" s="1"/>
  <c r="P68" i="4"/>
  <c r="F14"/>
  <c r="F70" s="1"/>
  <c r="F72" s="1"/>
  <c r="O9" i="6"/>
  <c r="M7"/>
  <c r="C10" i="24"/>
  <c r="B42" i="27"/>
  <c r="B42" i="26"/>
  <c r="E43" i="27"/>
  <c r="E43" i="26"/>
  <c r="S58" i="6"/>
  <c r="M58"/>
  <c r="M47"/>
  <c r="I52"/>
  <c r="F51"/>
  <c r="N36"/>
  <c r="G34"/>
  <c r="V8"/>
  <c r="U8" s="1"/>
  <c r="W8" s="1"/>
  <c r="X14"/>
  <c r="X71" s="1"/>
  <c r="X13"/>
  <c r="AJ13" s="1"/>
  <c r="R12"/>
  <c r="S12"/>
  <c r="Q10"/>
  <c r="M10"/>
  <c r="V7" i="5"/>
  <c r="AH7" s="1"/>
  <c r="T14"/>
  <c r="T13"/>
  <c r="X14"/>
  <c r="X71" s="1"/>
  <c r="V8"/>
  <c r="X13"/>
  <c r="AJ13" s="1"/>
  <c r="AJ7" i="4"/>
  <c r="X13"/>
  <c r="AJ13" s="1"/>
  <c r="K51" i="5"/>
  <c r="K60" i="4"/>
  <c r="L48" i="5"/>
  <c r="L60" i="4"/>
  <c r="M35"/>
  <c r="N36" i="5"/>
  <c r="N47" i="4"/>
  <c r="N46" s="1"/>
  <c r="P59" i="5"/>
  <c r="P35" i="4"/>
  <c r="R34"/>
  <c r="J46" i="5"/>
  <c r="N47"/>
  <c r="K47"/>
  <c r="K46" s="1"/>
  <c r="K35"/>
  <c r="K33" s="1"/>
  <c r="N35"/>
  <c r="M35"/>
  <c r="L35"/>
  <c r="P58"/>
  <c r="M58"/>
  <c r="Q58"/>
  <c r="O57"/>
  <c r="S48"/>
  <c r="S46" s="1"/>
  <c r="Q48"/>
  <c r="Q46" s="1"/>
  <c r="P48"/>
  <c r="R36"/>
  <c r="P36"/>
  <c r="S36"/>
  <c r="S33" s="1"/>
  <c r="O33"/>
  <c r="T49"/>
  <c r="U61"/>
  <c r="V57"/>
  <c r="V61" s="1"/>
  <c r="W57"/>
  <c r="W61" s="1"/>
  <c r="N60"/>
  <c r="L60"/>
  <c r="K60"/>
  <c r="J57" i="4"/>
  <c r="L59"/>
  <c r="K59"/>
  <c r="M59"/>
  <c r="N59"/>
  <c r="N57" s="1"/>
  <c r="L48"/>
  <c r="L46" s="1"/>
  <c r="M48"/>
  <c r="J33"/>
  <c r="R60"/>
  <c r="R57" s="1"/>
  <c r="Q60"/>
  <c r="Q57" s="1"/>
  <c r="S60"/>
  <c r="P60"/>
  <c r="Q51"/>
  <c r="P51"/>
  <c r="S51"/>
  <c r="N51"/>
  <c r="R51"/>
  <c r="R49" s="1"/>
  <c r="M51"/>
  <c r="G59" i="6"/>
  <c r="H59"/>
  <c r="F59"/>
  <c r="F57" s="1"/>
  <c r="I59"/>
  <c r="I57" s="1"/>
  <c r="E49"/>
  <c r="N60"/>
  <c r="M60"/>
  <c r="L60"/>
  <c r="K51"/>
  <c r="K49" s="1"/>
  <c r="M51"/>
  <c r="M49" s="1"/>
  <c r="N51"/>
  <c r="N34"/>
  <c r="M34"/>
  <c r="J33"/>
  <c r="K34"/>
  <c r="O46"/>
  <c r="Q47"/>
  <c r="O33"/>
  <c r="R35"/>
  <c r="P35"/>
  <c r="S35"/>
  <c r="T57"/>
  <c r="P38"/>
  <c r="P37" s="1"/>
  <c r="R38"/>
  <c r="R37" s="1"/>
  <c r="Q38"/>
  <c r="Q37" s="1"/>
  <c r="S38"/>
  <c r="S37" s="1"/>
  <c r="F48" i="5"/>
  <c r="I48"/>
  <c r="H48"/>
  <c r="G35"/>
  <c r="E33"/>
  <c r="I35"/>
  <c r="M69" i="4"/>
  <c r="M71" s="1"/>
  <c r="J71"/>
  <c r="J72" s="1"/>
  <c r="N41" i="5"/>
  <c r="T53" i="4"/>
  <c r="E14"/>
  <c r="E70" s="1"/>
  <c r="E72" s="1"/>
  <c r="S7" i="5"/>
  <c r="G11" i="6"/>
  <c r="H59" i="4"/>
  <c r="L7" i="5"/>
  <c r="M12" i="6"/>
  <c r="J57"/>
  <c r="O46" i="5"/>
  <c r="F58"/>
  <c r="R68" i="4"/>
  <c r="I36" i="5"/>
  <c r="N10" i="6"/>
  <c r="K6"/>
  <c r="Q6"/>
  <c r="M6"/>
  <c r="S36"/>
  <c r="P12"/>
  <c r="P58"/>
  <c r="P57" s="1"/>
  <c r="H60"/>
  <c r="R52"/>
  <c r="Q48"/>
  <c r="N52"/>
  <c r="L51"/>
  <c r="I51"/>
  <c r="Q35"/>
  <c r="N35"/>
  <c r="I35"/>
  <c r="F35"/>
  <c r="E12"/>
  <c r="E12" i="5"/>
  <c r="L12" i="6"/>
  <c r="O12" i="5"/>
  <c r="M12" s="1"/>
  <c r="O12" i="4"/>
  <c r="F12"/>
  <c r="I12"/>
  <c r="AD12"/>
  <c r="H12"/>
  <c r="E6" i="6"/>
  <c r="AD6" i="4"/>
  <c r="U10" i="5"/>
  <c r="AF12" i="4"/>
  <c r="B10" i="24"/>
  <c r="V12" i="4"/>
  <c r="AH12" s="1"/>
  <c r="L59" i="5"/>
  <c r="L47"/>
  <c r="M60"/>
  <c r="M60" i="4"/>
  <c r="N58" i="5"/>
  <c r="S58"/>
  <c r="R35" i="4"/>
  <c r="V53"/>
  <c r="V62" s="1"/>
  <c r="N6" i="6"/>
  <c r="I9"/>
  <c r="H7" i="4"/>
  <c r="S6" i="6"/>
  <c r="AC8" i="4"/>
  <c r="K12" i="6"/>
  <c r="O57" i="4"/>
  <c r="H35" i="5"/>
  <c r="H60"/>
  <c r="G36"/>
  <c r="AE9" i="4"/>
  <c r="N9"/>
  <c r="M9"/>
  <c r="J49" i="6"/>
  <c r="V7" i="4"/>
  <c r="N12" i="6"/>
  <c r="Q36"/>
  <c r="D42" i="26"/>
  <c r="K60" i="6"/>
  <c r="S52"/>
  <c r="N47"/>
  <c r="N46" s="1"/>
  <c r="G51"/>
  <c r="L35"/>
  <c r="F51" i="5"/>
  <c r="G48"/>
  <c r="G34" i="4"/>
  <c r="I59"/>
  <c r="F59"/>
  <c r="I48"/>
  <c r="G48"/>
  <c r="I34"/>
  <c r="E33"/>
  <c r="H34"/>
  <c r="K48"/>
  <c r="L51"/>
  <c r="M59" i="5"/>
  <c r="Q50"/>
  <c r="R59"/>
  <c r="X61" i="4"/>
  <c r="G42" i="18"/>
  <c r="G36"/>
  <c r="B54" i="27"/>
  <c r="B54" i="26"/>
  <c r="U57" i="6"/>
  <c r="U61" s="1"/>
  <c r="W53"/>
  <c r="W74" s="1"/>
  <c r="H58" i="4"/>
  <c r="E57"/>
  <c r="H47"/>
  <c r="H46" s="1"/>
  <c r="F47"/>
  <c r="F46" s="1"/>
  <c r="P34"/>
  <c r="X53"/>
  <c r="X74" s="1"/>
  <c r="G47" i="5"/>
  <c r="I47"/>
  <c r="F47"/>
  <c r="L9"/>
  <c r="AE6"/>
  <c r="AC9"/>
  <c r="P9"/>
  <c r="G47" i="4"/>
  <c r="E46" i="5"/>
  <c r="T13" i="4"/>
  <c r="P34" i="6"/>
  <c r="S34" i="20"/>
  <c r="T71" i="4"/>
  <c r="AF11" i="5"/>
  <c r="G41" i="18"/>
  <c r="AF9" i="4"/>
  <c r="E46"/>
  <c r="J13" i="6"/>
  <c r="N10" i="4"/>
  <c r="AF6" i="5"/>
  <c r="V6"/>
  <c r="AF10" i="4"/>
  <c r="V10"/>
  <c r="AF8"/>
  <c r="V8"/>
  <c r="F52" i="5"/>
  <c r="H47"/>
  <c r="Q36"/>
  <c r="V57" i="4"/>
  <c r="V61" s="1"/>
  <c r="V20" i="6"/>
  <c r="U20" s="1"/>
  <c r="W20" s="1"/>
  <c r="L41" i="18"/>
  <c r="J26"/>
  <c r="W57" i="6"/>
  <c r="W61" s="1"/>
  <c r="U53"/>
  <c r="U74" s="1"/>
  <c r="V7"/>
  <c r="U7" s="1"/>
  <c r="W7" s="1"/>
  <c r="E37" i="4"/>
  <c r="I52"/>
  <c r="H52"/>
  <c r="G52"/>
  <c r="R35" i="5"/>
  <c r="P35"/>
  <c r="Q60"/>
  <c r="R51"/>
  <c r="Q51"/>
  <c r="R34"/>
  <c r="N34"/>
  <c r="M34"/>
  <c r="R47"/>
  <c r="P47"/>
  <c r="L58"/>
  <c r="K58"/>
  <c r="J49" i="4"/>
  <c r="K51"/>
  <c r="K49" s="1"/>
  <c r="J37"/>
  <c r="K35"/>
  <c r="T57"/>
  <c r="E33" i="6"/>
  <c r="F36"/>
  <c r="L36"/>
  <c r="O49"/>
  <c r="E49" i="4"/>
  <c r="J14" i="5"/>
  <c r="J71" s="1"/>
  <c r="J72" s="1"/>
  <c r="H60" i="4"/>
  <c r="H51"/>
  <c r="F35"/>
  <c r="U53"/>
  <c r="X62"/>
  <c r="AC34" i="20"/>
  <c r="J33" i="5"/>
  <c r="T57"/>
  <c r="T46"/>
  <c r="J57"/>
  <c r="J46" i="4"/>
  <c r="T49"/>
  <c r="E57" i="6"/>
  <c r="E46"/>
  <c r="J37"/>
  <c r="O37"/>
  <c r="L43" i="5"/>
  <c r="O18" i="6"/>
  <c r="E18" i="4"/>
  <c r="E18" i="6"/>
  <c r="O22"/>
  <c r="V18"/>
  <c r="H33" i="5"/>
  <c r="V21"/>
  <c r="U21" s="1"/>
  <c r="W21" s="1"/>
  <c r="F6" i="4"/>
  <c r="G8" i="5"/>
  <c r="M11" i="6"/>
  <c r="R69" i="4"/>
  <c r="K69"/>
  <c r="N69"/>
  <c r="S69"/>
  <c r="E53" i="26"/>
  <c r="I41" i="18"/>
  <c r="R86" i="16"/>
  <c r="G119"/>
  <c r="E121"/>
  <c r="I113"/>
  <c r="E141"/>
  <c r="I146"/>
  <c r="E51" i="17"/>
  <c r="I51"/>
  <c r="J12" i="18"/>
  <c r="H36"/>
  <c r="H42"/>
  <c r="H41"/>
  <c r="K36"/>
  <c r="K42"/>
  <c r="G109" i="16"/>
  <c r="S49" i="7"/>
  <c r="S58"/>
  <c r="X23" i="6" s="1"/>
  <c r="Q49" i="7"/>
  <c r="Q58"/>
  <c r="X21" i="6" s="1"/>
  <c r="H6" i="4"/>
  <c r="R27" i="7"/>
  <c r="O70" i="6"/>
  <c r="O72" s="1"/>
  <c r="L69" i="4"/>
  <c r="E54" i="26"/>
  <c r="R89" i="16"/>
  <c r="E140"/>
  <c r="B47" i="22"/>
  <c r="G148" i="16"/>
  <c r="G143"/>
  <c r="B73" i="17"/>
  <c r="B74" s="1"/>
  <c r="C73"/>
  <c r="P69" i="4"/>
  <c r="J11" i="18"/>
  <c r="J109" i="16"/>
  <c r="Q57" i="2"/>
  <c r="T21" i="6" s="1"/>
  <c r="V11"/>
  <c r="I8" i="22"/>
  <c r="K8"/>
  <c r="L8" s="1"/>
  <c r="M8" s="1"/>
  <c r="N8" s="1"/>
  <c r="K9"/>
  <c r="L9" s="1"/>
  <c r="M9" s="1"/>
  <c r="N9" s="1"/>
  <c r="F20"/>
  <c r="F66"/>
  <c r="F65" s="1"/>
  <c r="H126" i="16"/>
  <c r="I98"/>
  <c r="I126" s="1"/>
  <c r="I148"/>
  <c r="I112"/>
  <c r="H148"/>
  <c r="J34" i="17"/>
  <c r="I34"/>
  <c r="H34"/>
  <c r="G34"/>
  <c r="I44"/>
  <c r="G41"/>
  <c r="B41" i="27"/>
  <c r="D26" i="5"/>
  <c r="F42" i="17"/>
  <c r="E42"/>
  <c r="D42"/>
  <c r="C42"/>
  <c r="F37"/>
  <c r="D37"/>
  <c r="R28" i="4"/>
  <c r="O49" i="7"/>
  <c r="R46"/>
  <c r="E10" i="5"/>
  <c r="E10" i="6"/>
  <c r="O6" i="4"/>
  <c r="E7" i="5"/>
  <c r="E7" i="6"/>
  <c r="R6" i="1"/>
  <c r="V18" i="4"/>
  <c r="U18" s="1"/>
  <c r="S8" i="7"/>
  <c r="J8" i="22"/>
  <c r="O18" s="1"/>
  <c r="G100" i="16"/>
  <c r="G128" s="1"/>
  <c r="J36" i="17"/>
  <c r="H36"/>
  <c r="G37"/>
  <c r="E8" i="24"/>
  <c r="F33" i="17"/>
  <c r="D33"/>
  <c r="O11" i="5"/>
  <c r="N11" s="1"/>
  <c r="E11" i="4"/>
  <c r="O11"/>
  <c r="I9"/>
  <c r="H9"/>
  <c r="G9"/>
  <c r="Q25" i="1"/>
  <c r="Q37" s="1"/>
  <c r="Q24"/>
  <c r="N26" i="7"/>
  <c r="N25"/>
  <c r="Q8"/>
  <c r="O8"/>
  <c r="O7" s="1"/>
  <c r="R17" i="1"/>
  <c r="N17"/>
  <c r="N6"/>
  <c r="O8" i="5"/>
  <c r="V10" i="19"/>
  <c r="Y10"/>
  <c r="O51" i="1"/>
  <c r="O57" s="1"/>
  <c r="O50"/>
  <c r="O56" s="1"/>
  <c r="J19" i="6" s="1"/>
  <c r="S26" i="2"/>
  <c r="S25"/>
  <c r="V22" i="4"/>
  <c r="U22" s="1"/>
  <c r="W22" s="1"/>
  <c r="P18" i="2"/>
  <c r="P18" i="7"/>
  <c r="H8" i="22"/>
  <c r="I100" i="16"/>
  <c r="J31" i="17"/>
  <c r="H31"/>
  <c r="F43"/>
  <c r="D43"/>
  <c r="O10" i="5"/>
  <c r="N10" s="1"/>
  <c r="V11"/>
  <c r="U11" s="1"/>
  <c r="U11" i="4"/>
  <c r="P45" i="1"/>
  <c r="O47"/>
  <c r="R25"/>
  <c r="R37" s="1"/>
  <c r="R24"/>
  <c r="P24"/>
  <c r="P25"/>
  <c r="P37" s="1"/>
  <c r="R32" i="2"/>
  <c r="R31"/>
  <c r="P25"/>
  <c r="P26"/>
  <c r="Q17"/>
  <c r="T21" i="4" s="1"/>
  <c r="P17" i="1"/>
  <c r="P6"/>
  <c r="Q47"/>
  <c r="P11" i="7"/>
  <c r="F51" i="4"/>
  <c r="F49" s="1"/>
  <c r="F34"/>
  <c r="G59"/>
  <c r="H36"/>
  <c r="I60"/>
  <c r="I58"/>
  <c r="I51"/>
  <c r="I47"/>
  <c r="I35"/>
  <c r="Q35"/>
  <c r="S36"/>
  <c r="S34"/>
  <c r="N68" i="6"/>
  <c r="L68"/>
  <c r="K68"/>
  <c r="J68" i="4"/>
  <c r="M68" i="6"/>
  <c r="M68" i="5"/>
  <c r="N68"/>
  <c r="K68"/>
  <c r="L68"/>
  <c r="T53"/>
  <c r="K56"/>
  <c r="L56"/>
  <c r="M56"/>
  <c r="N56"/>
  <c r="T53" i="6"/>
  <c r="K56"/>
  <c r="L56"/>
  <c r="M56"/>
  <c r="N56"/>
  <c r="S44" i="5"/>
  <c r="K55"/>
  <c r="L55"/>
  <c r="N55"/>
  <c r="M55"/>
  <c r="P56" i="6"/>
  <c r="Q56"/>
  <c r="R56"/>
  <c r="S56"/>
  <c r="F58" i="4"/>
  <c r="G51"/>
  <c r="G35"/>
  <c r="P55" i="5"/>
  <c r="R55"/>
  <c r="Q55"/>
  <c r="S55"/>
  <c r="K54"/>
  <c r="J53"/>
  <c r="L54"/>
  <c r="M54"/>
  <c r="N54"/>
  <c r="P55" i="6"/>
  <c r="Q55"/>
  <c r="S55"/>
  <c r="R55"/>
  <c r="L55"/>
  <c r="Q36" i="4"/>
  <c r="E28" i="5"/>
  <c r="R68" i="6"/>
  <c r="P68"/>
  <c r="Q68"/>
  <c r="S68"/>
  <c r="Q68" i="5"/>
  <c r="R68"/>
  <c r="S68"/>
  <c r="P68"/>
  <c r="F56"/>
  <c r="G56"/>
  <c r="H56"/>
  <c r="I56"/>
  <c r="O53" i="6"/>
  <c r="Q54"/>
  <c r="R54"/>
  <c r="S54"/>
  <c r="P54"/>
  <c r="F56"/>
  <c r="G56"/>
  <c r="H56"/>
  <c r="I56"/>
  <c r="N33" i="20"/>
  <c r="V25" i="19"/>
  <c r="V59" s="1"/>
  <c r="AB34"/>
  <c r="AC56"/>
  <c r="AC54"/>
  <c r="AC46"/>
  <c r="AC33"/>
  <c r="AC24"/>
  <c r="AC22"/>
  <c r="AC20"/>
  <c r="AC18"/>
  <c r="AC6"/>
  <c r="AE34"/>
  <c r="AE25"/>
  <c r="AE23"/>
  <c r="AE21"/>
  <c r="AE19"/>
  <c r="AE7"/>
  <c r="P42" i="5"/>
  <c r="R42"/>
  <c r="S42"/>
  <c r="N42"/>
  <c r="L42"/>
  <c r="F42"/>
  <c r="H42"/>
  <c r="I42"/>
  <c r="G42"/>
  <c r="Q43" i="6"/>
  <c r="R43"/>
  <c r="P43"/>
  <c r="S43"/>
  <c r="L43"/>
  <c r="M43"/>
  <c r="K43"/>
  <c r="N43"/>
  <c r="H43"/>
  <c r="F43"/>
  <c r="I43"/>
  <c r="G43"/>
  <c r="P43" i="4"/>
  <c r="S43"/>
  <c r="Q43"/>
  <c r="R43"/>
  <c r="L43"/>
  <c r="M43"/>
  <c r="K43"/>
  <c r="N43"/>
  <c r="G43"/>
  <c r="H43"/>
  <c r="F43"/>
  <c r="I43"/>
  <c r="O53"/>
  <c r="Q54"/>
  <c r="R54"/>
  <c r="S54"/>
  <c r="P54"/>
  <c r="H56"/>
  <c r="I56"/>
  <c r="F56"/>
  <c r="G56"/>
  <c r="N55" i="6"/>
  <c r="H55"/>
  <c r="Q42" i="5"/>
  <c r="K42"/>
  <c r="T40"/>
  <c r="O40"/>
  <c r="S41"/>
  <c r="P41"/>
  <c r="Q41"/>
  <c r="K41"/>
  <c r="L41"/>
  <c r="M41"/>
  <c r="E40"/>
  <c r="I41"/>
  <c r="F41"/>
  <c r="H41"/>
  <c r="G41"/>
  <c r="Q42" i="6"/>
  <c r="P42"/>
  <c r="R42"/>
  <c r="S42"/>
  <c r="K42"/>
  <c r="M42"/>
  <c r="N42"/>
  <c r="L42"/>
  <c r="I42"/>
  <c r="G42"/>
  <c r="H42"/>
  <c r="F42"/>
  <c r="Q42" i="4"/>
  <c r="P42"/>
  <c r="R42"/>
  <c r="S42"/>
  <c r="L42"/>
  <c r="K42"/>
  <c r="M42"/>
  <c r="N42"/>
  <c r="F42"/>
  <c r="H42"/>
  <c r="I42"/>
  <c r="G42"/>
  <c r="F55" i="5"/>
  <c r="L56" i="4"/>
  <c r="M56"/>
  <c r="N56"/>
  <c r="K56"/>
  <c r="F55"/>
  <c r="G55"/>
  <c r="H55"/>
  <c r="I55"/>
  <c r="P56" i="5"/>
  <c r="Q56"/>
  <c r="R56"/>
  <c r="S56"/>
  <c r="I55"/>
  <c r="G55"/>
  <c r="K55" i="6"/>
  <c r="M42" i="5"/>
  <c r="J40"/>
  <c r="AC57" i="19"/>
  <c r="AC55"/>
  <c r="AC47"/>
  <c r="P44" i="5"/>
  <c r="Q44"/>
  <c r="R44"/>
  <c r="L44"/>
  <c r="M44"/>
  <c r="N44"/>
  <c r="F44"/>
  <c r="G44"/>
  <c r="I44"/>
  <c r="H44"/>
  <c r="R41" i="6"/>
  <c r="O40"/>
  <c r="S41"/>
  <c r="Q41"/>
  <c r="P41"/>
  <c r="J40"/>
  <c r="N41"/>
  <c r="K41"/>
  <c r="L41"/>
  <c r="M41"/>
  <c r="F41"/>
  <c r="G41"/>
  <c r="H41"/>
  <c r="E40"/>
  <c r="E32" s="1"/>
  <c r="I41"/>
  <c r="T40" i="4"/>
  <c r="P41"/>
  <c r="Q41"/>
  <c r="R41"/>
  <c r="O40"/>
  <c r="S41"/>
  <c r="M41"/>
  <c r="J40"/>
  <c r="N41"/>
  <c r="L41"/>
  <c r="K41"/>
  <c r="E40"/>
  <c r="I41"/>
  <c r="F41"/>
  <c r="G41"/>
  <c r="H41"/>
  <c r="E53" i="6"/>
  <c r="G54"/>
  <c r="H54"/>
  <c r="I54"/>
  <c r="F54"/>
  <c r="P56" i="4"/>
  <c r="Q56"/>
  <c r="R56"/>
  <c r="S56"/>
  <c r="K55"/>
  <c r="L55"/>
  <c r="M55"/>
  <c r="N55"/>
  <c r="E53"/>
  <c r="G54"/>
  <c r="H54"/>
  <c r="I54"/>
  <c r="F54"/>
  <c r="F53" s="1"/>
  <c r="M55" i="6"/>
  <c r="I55"/>
  <c r="G55"/>
  <c r="Q43" i="5"/>
  <c r="R43"/>
  <c r="P43"/>
  <c r="S43"/>
  <c r="M43"/>
  <c r="K43"/>
  <c r="N43"/>
  <c r="G43"/>
  <c r="H43"/>
  <c r="I43"/>
  <c r="F43"/>
  <c r="S44" i="6"/>
  <c r="P44"/>
  <c r="Q44"/>
  <c r="R44"/>
  <c r="K44"/>
  <c r="L44"/>
  <c r="M44"/>
  <c r="N44"/>
  <c r="G44"/>
  <c r="H44"/>
  <c r="I44"/>
  <c r="F44"/>
  <c r="R44" i="4"/>
  <c r="S44"/>
  <c r="P44"/>
  <c r="Q44"/>
  <c r="N44"/>
  <c r="K44"/>
  <c r="L44"/>
  <c r="M44"/>
  <c r="F44"/>
  <c r="G44"/>
  <c r="H44"/>
  <c r="I44"/>
  <c r="J53" i="6"/>
  <c r="J45" s="1"/>
  <c r="L54"/>
  <c r="M54"/>
  <c r="M53" s="1"/>
  <c r="N54"/>
  <c r="K54"/>
  <c r="P55" i="4"/>
  <c r="Q55"/>
  <c r="R55"/>
  <c r="S55"/>
  <c r="J53"/>
  <c r="L54"/>
  <c r="M54"/>
  <c r="N54"/>
  <c r="K54"/>
  <c r="P54" i="5"/>
  <c r="O53"/>
  <c r="Q54"/>
  <c r="R54"/>
  <c r="S54"/>
  <c r="S53" s="1"/>
  <c r="H55"/>
  <c r="F54"/>
  <c r="E53"/>
  <c r="G54"/>
  <c r="H54"/>
  <c r="I54"/>
  <c r="R41"/>
  <c r="K44"/>
  <c r="G57" i="4" l="1"/>
  <c r="J20" i="18"/>
  <c r="L57" i="5"/>
  <c r="R46"/>
  <c r="O37"/>
  <c r="O61" s="1"/>
  <c r="P33"/>
  <c r="H46"/>
  <c r="Q6"/>
  <c r="R57"/>
  <c r="P38"/>
  <c r="P37" s="1"/>
  <c r="L49" i="4"/>
  <c r="K7" i="6"/>
  <c r="N7"/>
  <c r="M49" i="4"/>
  <c r="P49"/>
  <c r="L33" i="5"/>
  <c r="K49"/>
  <c r="L10" i="6"/>
  <c r="P10"/>
  <c r="D10" i="27"/>
  <c r="G46" i="6"/>
  <c r="L7"/>
  <c r="Q7"/>
  <c r="K10"/>
  <c r="L6" i="5"/>
  <c r="T12" i="2"/>
  <c r="M18" i="7"/>
  <c r="M38" i="2"/>
  <c r="M15" i="7"/>
  <c r="M15" i="2"/>
  <c r="M35"/>
  <c r="M7" i="7"/>
  <c r="M19" s="1"/>
  <c r="M17"/>
  <c r="M9"/>
  <c r="M7" i="2"/>
  <c r="M19" s="1"/>
  <c r="M17"/>
  <c r="M37"/>
  <c r="M27"/>
  <c r="M39" s="1"/>
  <c r="M56" i="1"/>
  <c r="M46"/>
  <c r="M58" s="1"/>
  <c r="M48"/>
  <c r="M60" s="1"/>
  <c r="J17" i="6" s="1"/>
  <c r="E17" i="4" s="1"/>
  <c r="M57" i="2"/>
  <c r="M47"/>
  <c r="M59" s="1"/>
  <c r="AF59" i="20"/>
  <c r="T28" i="5" s="1"/>
  <c r="U28" s="1"/>
  <c r="V28" s="1"/>
  <c r="W28" s="1"/>
  <c r="X28" s="1"/>
  <c r="AE59" i="20"/>
  <c r="O27" i="7"/>
  <c r="M38"/>
  <c r="M18" i="2"/>
  <c r="M55" i="7"/>
  <c r="T55" s="1"/>
  <c r="M58"/>
  <c r="M6" i="1"/>
  <c r="M18" s="1"/>
  <c r="M16"/>
  <c r="M27" i="7"/>
  <c r="M39" s="1"/>
  <c r="M37"/>
  <c r="M29"/>
  <c r="M41" s="1"/>
  <c r="X17" i="5" s="1"/>
  <c r="M36" i="1"/>
  <c r="M26"/>
  <c r="M38" s="1"/>
  <c r="M47" i="7"/>
  <c r="M59" s="1"/>
  <c r="M57"/>
  <c r="M49"/>
  <c r="M61" s="1"/>
  <c r="T18" i="2"/>
  <c r="T25" i="4" s="1"/>
  <c r="R46" i="1"/>
  <c r="S54"/>
  <c r="M55" i="2"/>
  <c r="M58"/>
  <c r="V19" i="6"/>
  <c r="U19" s="1"/>
  <c r="W19" s="1"/>
  <c r="E23" i="4"/>
  <c r="O23"/>
  <c r="K23" s="1"/>
  <c r="L53" i="6"/>
  <c r="O28"/>
  <c r="N28" s="1"/>
  <c r="Q17" i="7"/>
  <c r="X21" i="4" s="1"/>
  <c r="S12" i="5"/>
  <c r="K12"/>
  <c r="V14" i="4"/>
  <c r="V70" s="1"/>
  <c r="K33" i="6"/>
  <c r="Q49" i="4"/>
  <c r="Q49" i="6"/>
  <c r="R46" i="4"/>
  <c r="S57" i="1"/>
  <c r="O34" i="7"/>
  <c r="T34" s="1"/>
  <c r="O35"/>
  <c r="E28" i="4"/>
  <c r="H28" s="1"/>
  <c r="G33"/>
  <c r="Q20" i="7"/>
  <c r="S17"/>
  <c r="X23" i="4" s="1"/>
  <c r="V23" s="1"/>
  <c r="U23" s="1"/>
  <c r="W23" s="1"/>
  <c r="P12" i="5"/>
  <c r="R12"/>
  <c r="E22" i="6"/>
  <c r="H22" s="1"/>
  <c r="K57" i="5"/>
  <c r="R11" i="6"/>
  <c r="N49" i="4"/>
  <c r="P57"/>
  <c r="G33" i="6"/>
  <c r="B7" i="24"/>
  <c r="B7" i="26" s="1"/>
  <c r="P46" i="6"/>
  <c r="L49" i="5"/>
  <c r="L10" i="4"/>
  <c r="N59" i="1"/>
  <c r="T31" i="7"/>
  <c r="S15"/>
  <c r="S10" i="4"/>
  <c r="P10"/>
  <c r="Q15" i="7"/>
  <c r="T53"/>
  <c r="U6" i="4"/>
  <c r="Q38" i="7"/>
  <c r="Q35"/>
  <c r="E20" i="4"/>
  <c r="E20" i="5"/>
  <c r="S14" i="1"/>
  <c r="Q20" i="2"/>
  <c r="O14" i="7"/>
  <c r="O15" s="1"/>
  <c r="R53" i="5"/>
  <c r="I46" i="4"/>
  <c r="H33"/>
  <c r="L12" i="5"/>
  <c r="W62" i="4"/>
  <c r="N46" i="5"/>
  <c r="H46" i="6"/>
  <c r="T32" i="7"/>
  <c r="Y59" i="20"/>
  <c r="O37" i="7"/>
  <c r="X19" i="5" s="1"/>
  <c r="V19" s="1"/>
  <c r="U19" s="1"/>
  <c r="W19" s="1"/>
  <c r="AB59" i="19"/>
  <c r="J63" i="5" s="1"/>
  <c r="T18" i="7"/>
  <c r="X25" i="4" s="1"/>
  <c r="X29" s="1"/>
  <c r="X63" s="1"/>
  <c r="S38" i="2"/>
  <c r="O17" i="7"/>
  <c r="S20"/>
  <c r="N11" i="6"/>
  <c r="K11"/>
  <c r="E22" i="4"/>
  <c r="H22" s="1"/>
  <c r="R49" i="5"/>
  <c r="R45" s="1"/>
  <c r="Q33"/>
  <c r="K46" i="4"/>
  <c r="B6" i="27"/>
  <c r="G57" i="6"/>
  <c r="S49" i="4"/>
  <c r="S57"/>
  <c r="P11" i="6"/>
  <c r="G49" i="5"/>
  <c r="T47" i="7"/>
  <c r="P61" i="2"/>
  <c r="M10" i="4"/>
  <c r="Q10"/>
  <c r="O59" i="7"/>
  <c r="N9" i="5"/>
  <c r="Q9"/>
  <c r="K9"/>
  <c r="S9"/>
  <c r="R9"/>
  <c r="M9"/>
  <c r="AE9"/>
  <c r="R15" i="2"/>
  <c r="M6" i="5"/>
  <c r="P6"/>
  <c r="S6"/>
  <c r="Q53" i="6"/>
  <c r="N14" i="2"/>
  <c r="N20" s="1"/>
  <c r="H49" i="5"/>
  <c r="X59" i="19"/>
  <c r="N48" i="7"/>
  <c r="N60" s="1"/>
  <c r="N59"/>
  <c r="Q47" i="2"/>
  <c r="Q59" s="1"/>
  <c r="T46"/>
  <c r="T10" i="1"/>
  <c r="O13"/>
  <c r="S38" i="7"/>
  <c r="R16" i="1"/>
  <c r="J22" i="4" s="1"/>
  <c r="O22" s="1"/>
  <c r="L22" s="1"/>
  <c r="R13" i="1"/>
  <c r="R19" s="1"/>
  <c r="R14"/>
  <c r="G53" i="5"/>
  <c r="G53" i="4"/>
  <c r="L53" i="5"/>
  <c r="T61" i="4"/>
  <c r="E17" i="6"/>
  <c r="F17" s="1"/>
  <c r="S11"/>
  <c r="P60" i="2"/>
  <c r="O7" i="1"/>
  <c r="T4"/>
  <c r="G28" i="18"/>
  <c r="G12"/>
  <c r="O89" i="16"/>
  <c r="O16" i="1"/>
  <c r="J19" i="4" s="1"/>
  <c r="I2" i="29"/>
  <c r="I30" s="1"/>
  <c r="T59" i="19"/>
  <c r="I26" i="29" s="1"/>
  <c r="I144" i="16"/>
  <c r="I138"/>
  <c r="L57" i="4"/>
  <c r="E17" i="5"/>
  <c r="L11" i="6"/>
  <c r="X59" i="20"/>
  <c r="Q18" i="1"/>
  <c r="Q8"/>
  <c r="Q20" s="1"/>
  <c r="Q58" i="2"/>
  <c r="Q55"/>
  <c r="G144" i="16"/>
  <c r="G138"/>
  <c r="L12" i="18"/>
  <c r="T89" i="16"/>
  <c r="L28" i="18"/>
  <c r="L11"/>
  <c r="G20" i="6"/>
  <c r="H20"/>
  <c r="H50" i="17"/>
  <c r="O8" i="2"/>
  <c r="O20" s="1"/>
  <c r="T5"/>
  <c r="S7" i="1"/>
  <c r="S19" s="1"/>
  <c r="N27"/>
  <c r="N39" s="1"/>
  <c r="N36"/>
  <c r="J18" i="5" s="1"/>
  <c r="O18" s="1"/>
  <c r="P14" i="2"/>
  <c r="T11"/>
  <c r="H11" i="18"/>
  <c r="H28"/>
  <c r="H12"/>
  <c r="P89" i="16"/>
  <c r="Q29" i="7"/>
  <c r="Q41" s="1"/>
  <c r="I49" i="4"/>
  <c r="H14"/>
  <c r="H70" s="1"/>
  <c r="H72" s="1"/>
  <c r="M33" i="5"/>
  <c r="R59" i="1"/>
  <c r="P28" i="7"/>
  <c r="P40" s="1"/>
  <c r="P37"/>
  <c r="X20" i="5" s="1"/>
  <c r="O17" i="2"/>
  <c r="T19" i="4" s="1"/>
  <c r="Q85" i="16"/>
  <c r="G50" i="17"/>
  <c r="T52" i="2"/>
  <c r="O61"/>
  <c r="R27"/>
  <c r="R39" s="1"/>
  <c r="R59"/>
  <c r="R49"/>
  <c r="R61" s="1"/>
  <c r="Q35"/>
  <c r="O27"/>
  <c r="Q29"/>
  <c r="Q40"/>
  <c r="O34"/>
  <c r="O40" s="1"/>
  <c r="S54"/>
  <c r="S60" s="1"/>
  <c r="S57"/>
  <c r="T23" i="6" s="1"/>
  <c r="V23" s="1"/>
  <c r="U23" s="1"/>
  <c r="W23" s="1"/>
  <c r="AH9" i="5"/>
  <c r="U9"/>
  <c r="M53"/>
  <c r="M45" s="1"/>
  <c r="W59" i="19"/>
  <c r="E61" i="6"/>
  <c r="I53" i="5"/>
  <c r="P53"/>
  <c r="L53" i="4"/>
  <c r="L45" s="1"/>
  <c r="H53" i="6"/>
  <c r="H45" s="1"/>
  <c r="F33" i="4"/>
  <c r="G46"/>
  <c r="S49" i="5"/>
  <c r="S45" s="1"/>
  <c r="T34" i="1"/>
  <c r="S9" i="2"/>
  <c r="S21" s="1"/>
  <c r="S19"/>
  <c r="O15"/>
  <c r="J18" i="4"/>
  <c r="G18" s="1"/>
  <c r="O26" i="1"/>
  <c r="O38" s="1"/>
  <c r="O37"/>
  <c r="Q53"/>
  <c r="Q54" s="1"/>
  <c r="R19" i="7"/>
  <c r="R9"/>
  <c r="R21" s="1"/>
  <c r="N59" i="2"/>
  <c r="N49"/>
  <c r="P61" i="7"/>
  <c r="P48"/>
  <c r="R9" i="2"/>
  <c r="R21" s="1"/>
  <c r="R19"/>
  <c r="S28" i="1"/>
  <c r="S40" s="1"/>
  <c r="S38"/>
  <c r="U12" i="5"/>
  <c r="AH12"/>
  <c r="N56" i="7"/>
  <c r="N61"/>
  <c r="R20" i="6"/>
  <c r="S20"/>
  <c r="M20"/>
  <c r="N20"/>
  <c r="P20"/>
  <c r="Q20"/>
  <c r="K20"/>
  <c r="L20"/>
  <c r="S33"/>
  <c r="N46" i="1"/>
  <c r="T47" i="2"/>
  <c r="T59" s="1"/>
  <c r="T26" i="6" s="1"/>
  <c r="N19" i="2"/>
  <c r="N9"/>
  <c r="AH9" i="4"/>
  <c r="U9"/>
  <c r="L8" i="6"/>
  <c r="M8"/>
  <c r="K8"/>
  <c r="Q8"/>
  <c r="P8"/>
  <c r="S8"/>
  <c r="R8"/>
  <c r="N8"/>
  <c r="N38" i="2"/>
  <c r="N27"/>
  <c r="N39" s="1"/>
  <c r="S37" i="1"/>
  <c r="T31"/>
  <c r="S47"/>
  <c r="S40" i="7"/>
  <c r="S27"/>
  <c r="T48" i="2"/>
  <c r="N60"/>
  <c r="P19"/>
  <c r="P9"/>
  <c r="Q8" i="4"/>
  <c r="O14"/>
  <c r="R8"/>
  <c r="AE8"/>
  <c r="K8"/>
  <c r="N8"/>
  <c r="S8"/>
  <c r="P8"/>
  <c r="L8"/>
  <c r="O60" i="2"/>
  <c r="AE59" i="19"/>
  <c r="J28" i="5" s="1"/>
  <c r="O28" s="1"/>
  <c r="N28" s="1"/>
  <c r="P53" i="6"/>
  <c r="P45" s="1"/>
  <c r="K11" i="5"/>
  <c r="H49" i="4"/>
  <c r="G46" i="5"/>
  <c r="Q56" i="1"/>
  <c r="J21" i="6" s="1"/>
  <c r="N9" i="7"/>
  <c r="N21" s="1"/>
  <c r="P9"/>
  <c r="T44" i="1"/>
  <c r="S35" i="7"/>
  <c r="N40" i="2"/>
  <c r="S39" i="1"/>
  <c r="T57" i="2"/>
  <c r="G49" i="4"/>
  <c r="K22"/>
  <c r="L11" i="5"/>
  <c r="T61"/>
  <c r="H57" i="4"/>
  <c r="L33" i="6"/>
  <c r="Q57" i="5"/>
  <c r="F57"/>
  <c r="T61" i="6"/>
  <c r="N57"/>
  <c r="K33" i="4"/>
  <c r="N40" i="5"/>
  <c r="M28" i="6"/>
  <c r="F49" i="5"/>
  <c r="T45" i="4"/>
  <c r="I33" i="5"/>
  <c r="H57" i="6"/>
  <c r="E61" i="5"/>
  <c r="L46" i="6"/>
  <c r="H33"/>
  <c r="N33" i="4"/>
  <c r="N61" s="1"/>
  <c r="AH6" i="5"/>
  <c r="U6"/>
  <c r="B4" i="24"/>
  <c r="B11" s="1"/>
  <c r="AF13" i="4"/>
  <c r="E61"/>
  <c r="W10" i="5"/>
  <c r="AI10" s="1"/>
  <c r="AG10"/>
  <c r="M12" i="4"/>
  <c r="R12"/>
  <c r="S12"/>
  <c r="Q12"/>
  <c r="AE12"/>
  <c r="P12"/>
  <c r="K12"/>
  <c r="I12" i="5"/>
  <c r="AC12"/>
  <c r="G12"/>
  <c r="H12"/>
  <c r="F12"/>
  <c r="N33" i="6"/>
  <c r="O13" i="5"/>
  <c r="D4" i="24"/>
  <c r="AF13" i="5"/>
  <c r="C10" i="27"/>
  <c r="C11" i="24"/>
  <c r="C10" i="26"/>
  <c r="S49" i="6"/>
  <c r="K46"/>
  <c r="R40" i="5"/>
  <c r="K53" i="4"/>
  <c r="K45" s="1"/>
  <c r="J45"/>
  <c r="T45" i="5"/>
  <c r="Q33" i="4"/>
  <c r="U74"/>
  <c r="U62"/>
  <c r="L23"/>
  <c r="P23"/>
  <c r="N23"/>
  <c r="U12"/>
  <c r="B10" i="27"/>
  <c r="B10" i="26"/>
  <c r="N12" i="4"/>
  <c r="G12" i="6"/>
  <c r="F12"/>
  <c r="I12"/>
  <c r="H12"/>
  <c r="Q33"/>
  <c r="R33"/>
  <c r="N49"/>
  <c r="N61" s="1"/>
  <c r="D6" i="24"/>
  <c r="T71" i="5"/>
  <c r="V14"/>
  <c r="U14" s="1"/>
  <c r="M46" i="6"/>
  <c r="M45" s="1"/>
  <c r="L57"/>
  <c r="O61" i="4"/>
  <c r="T72"/>
  <c r="F53" i="5"/>
  <c r="Q53"/>
  <c r="N53" i="4"/>
  <c r="N45" s="1"/>
  <c r="K53" i="6"/>
  <c r="K45" s="1"/>
  <c r="I53" i="4"/>
  <c r="F53" i="6"/>
  <c r="O45" i="4"/>
  <c r="O45" i="6"/>
  <c r="J45" i="5"/>
  <c r="F57" i="4"/>
  <c r="F61" s="1"/>
  <c r="D35" i="24"/>
  <c r="D35" i="27" s="1"/>
  <c r="C35" i="24"/>
  <c r="I33" i="4"/>
  <c r="V13" i="6"/>
  <c r="AH13" s="1"/>
  <c r="J61" i="5"/>
  <c r="N33"/>
  <c r="N32" s="1"/>
  <c r="V74" i="4"/>
  <c r="AH10"/>
  <c r="U10"/>
  <c r="F46" i="5"/>
  <c r="F61" s="1"/>
  <c r="P33" i="4"/>
  <c r="Q49" i="5"/>
  <c r="G49" i="6"/>
  <c r="V13" i="4"/>
  <c r="AH13" s="1"/>
  <c r="U7"/>
  <c r="AH7"/>
  <c r="L12"/>
  <c r="S57" i="5"/>
  <c r="S61" s="1"/>
  <c r="L46"/>
  <c r="I6" i="6"/>
  <c r="F6"/>
  <c r="H6"/>
  <c r="G6"/>
  <c r="Q12" i="5"/>
  <c r="AE12"/>
  <c r="I49" i="6"/>
  <c r="G33" i="5"/>
  <c r="O61" i="6"/>
  <c r="J61"/>
  <c r="J61" i="4"/>
  <c r="M57"/>
  <c r="M57" i="5"/>
  <c r="M61" s="1"/>
  <c r="U8"/>
  <c r="AH8"/>
  <c r="M57" i="6"/>
  <c r="B7" i="27"/>
  <c r="R49" i="6"/>
  <c r="K57"/>
  <c r="F33"/>
  <c r="L33" i="4"/>
  <c r="Q70" i="6"/>
  <c r="Q72" s="1"/>
  <c r="Q71" i="4"/>
  <c r="H53" i="5"/>
  <c r="H45" s="1"/>
  <c r="O45"/>
  <c r="M53" i="4"/>
  <c r="N53" i="6"/>
  <c r="H53" i="4"/>
  <c r="H45" s="1"/>
  <c r="S53" i="6"/>
  <c r="N53" i="5"/>
  <c r="N74" s="1"/>
  <c r="K53"/>
  <c r="S33" i="4"/>
  <c r="S61" s="1"/>
  <c r="N12" i="5"/>
  <c r="P46"/>
  <c r="R33"/>
  <c r="AH8" i="4"/>
  <c r="U8"/>
  <c r="O13" i="6"/>
  <c r="AD13"/>
  <c r="E13"/>
  <c r="P33"/>
  <c r="P61" s="1"/>
  <c r="I46" i="5"/>
  <c r="I45" s="1"/>
  <c r="N57"/>
  <c r="L49" i="6"/>
  <c r="Q46"/>
  <c r="M33"/>
  <c r="M61" s="1"/>
  <c r="M46" i="4"/>
  <c r="P57" i="5"/>
  <c r="R33" i="4"/>
  <c r="U7" i="5"/>
  <c r="F49" i="6"/>
  <c r="S57"/>
  <c r="R9"/>
  <c r="Q9"/>
  <c r="S9"/>
  <c r="O14"/>
  <c r="N9"/>
  <c r="L9"/>
  <c r="P9"/>
  <c r="K9"/>
  <c r="K13" s="1"/>
  <c r="M9"/>
  <c r="H57" i="5"/>
  <c r="R57" i="6"/>
  <c r="I33"/>
  <c r="M33" i="4"/>
  <c r="P49" i="5"/>
  <c r="G17" i="6"/>
  <c r="H17"/>
  <c r="V14"/>
  <c r="U14" s="1"/>
  <c r="C6" i="24"/>
  <c r="C5"/>
  <c r="C4" i="27"/>
  <c r="C4" i="26"/>
  <c r="C8" i="24"/>
  <c r="V60" i="19"/>
  <c r="J62" i="6" s="1"/>
  <c r="J63"/>
  <c r="G61" i="4"/>
  <c r="D35" i="26"/>
  <c r="I53" i="6"/>
  <c r="H40" i="4"/>
  <c r="E62"/>
  <c r="E32"/>
  <c r="E74"/>
  <c r="J62"/>
  <c r="J32"/>
  <c r="J74"/>
  <c r="R40"/>
  <c r="I40" i="6"/>
  <c r="F40"/>
  <c r="N40"/>
  <c r="S40"/>
  <c r="J74" i="5"/>
  <c r="J32"/>
  <c r="F40"/>
  <c r="L40"/>
  <c r="S40"/>
  <c r="S53" i="4"/>
  <c r="S45" s="1"/>
  <c r="H28" i="5"/>
  <c r="D24" i="24"/>
  <c r="K68" i="4"/>
  <c r="K70" i="6" s="1"/>
  <c r="K72" s="1"/>
  <c r="N68" i="4"/>
  <c r="J70" i="6"/>
  <c r="J72" s="1"/>
  <c r="M68" i="4"/>
  <c r="M70" i="6" s="1"/>
  <c r="M72" s="1"/>
  <c r="L68" i="4"/>
  <c r="P17" i="7"/>
  <c r="X20" i="4" s="1"/>
  <c r="V20" s="1"/>
  <c r="U20" s="1"/>
  <c r="W20" s="1"/>
  <c r="P14" i="7"/>
  <c r="P15" s="1"/>
  <c r="T11"/>
  <c r="P18" i="1"/>
  <c r="P8"/>
  <c r="P20" s="1"/>
  <c r="R38" i="2"/>
  <c r="T32"/>
  <c r="R27" i="1"/>
  <c r="R39" s="1"/>
  <c r="R36"/>
  <c r="J22" i="5" s="1"/>
  <c r="P57" i="1"/>
  <c r="P46"/>
  <c r="P58" s="1"/>
  <c r="M10" i="5"/>
  <c r="S10"/>
  <c r="Q10"/>
  <c r="R10"/>
  <c r="AE10"/>
  <c r="P10"/>
  <c r="L10"/>
  <c r="T29" i="4"/>
  <c r="T63" s="1"/>
  <c r="K10" i="5"/>
  <c r="T26" i="7"/>
  <c r="T38" s="1"/>
  <c r="X25" i="5" s="1"/>
  <c r="X29" s="1"/>
  <c r="X65" s="1"/>
  <c r="N38" i="7"/>
  <c r="G14" i="4"/>
  <c r="G70" s="1"/>
  <c r="H11"/>
  <c r="H13" s="1"/>
  <c r="I11"/>
  <c r="I13" s="1"/>
  <c r="G11"/>
  <c r="G13" s="1"/>
  <c r="F11"/>
  <c r="F13" s="1"/>
  <c r="AC11"/>
  <c r="E13"/>
  <c r="AC13" s="1"/>
  <c r="S11" i="5"/>
  <c r="Q11"/>
  <c r="P11"/>
  <c r="AE11"/>
  <c r="R11"/>
  <c r="M11"/>
  <c r="S7" i="7"/>
  <c r="R18" i="1"/>
  <c r="R8"/>
  <c r="F10" i="6"/>
  <c r="I10"/>
  <c r="G10"/>
  <c r="H10"/>
  <c r="O61" i="7"/>
  <c r="O48"/>
  <c r="U11" i="6"/>
  <c r="W11" s="1"/>
  <c r="R20" i="4"/>
  <c r="Q20"/>
  <c r="P20"/>
  <c r="M20"/>
  <c r="S20"/>
  <c r="N20"/>
  <c r="R58" i="1"/>
  <c r="R48"/>
  <c r="R60" s="1"/>
  <c r="S61" i="7"/>
  <c r="S48"/>
  <c r="K71" i="4"/>
  <c r="T17" i="2"/>
  <c r="G22" i="4"/>
  <c r="S18" i="6"/>
  <c r="P18"/>
  <c r="M18"/>
  <c r="N18"/>
  <c r="R18"/>
  <c r="K18"/>
  <c r="L18"/>
  <c r="Q18"/>
  <c r="L19" i="5"/>
  <c r="G40" i="4"/>
  <c r="G32" s="1"/>
  <c r="K40"/>
  <c r="M40"/>
  <c r="Q40"/>
  <c r="E74" i="6"/>
  <c r="M40"/>
  <c r="J74"/>
  <c r="J32"/>
  <c r="O32"/>
  <c r="O74"/>
  <c r="I40" i="5"/>
  <c r="K40"/>
  <c r="O32"/>
  <c r="O74"/>
  <c r="R53" i="4"/>
  <c r="R45" s="1"/>
  <c r="R53" i="6"/>
  <c r="C24" i="24"/>
  <c r="Q46" i="1"/>
  <c r="P38" i="2"/>
  <c r="T26"/>
  <c r="W11" i="4"/>
  <c r="AG11"/>
  <c r="I107" i="16"/>
  <c r="I128"/>
  <c r="S37" i="2"/>
  <c r="T23" i="5" s="1"/>
  <c r="S28" i="2"/>
  <c r="S40" s="1"/>
  <c r="R22" i="4"/>
  <c r="Q22"/>
  <c r="M22"/>
  <c r="S22"/>
  <c r="N22"/>
  <c r="N18" i="1"/>
  <c r="N8"/>
  <c r="X19" i="4"/>
  <c r="T17" i="7"/>
  <c r="T25" i="1"/>
  <c r="W18" i="4"/>
  <c r="G7" i="6"/>
  <c r="I7"/>
  <c r="H7"/>
  <c r="F7"/>
  <c r="I10" i="5"/>
  <c r="AC10"/>
  <c r="G10"/>
  <c r="F10"/>
  <c r="H10"/>
  <c r="I124" i="16"/>
  <c r="I118"/>
  <c r="O21" i="6"/>
  <c r="V21"/>
  <c r="U21" s="1"/>
  <c r="W21" s="1"/>
  <c r="P71" i="4"/>
  <c r="P70" i="6"/>
  <c r="P72" s="1"/>
  <c r="L20" i="4"/>
  <c r="L71"/>
  <c r="L70" i="6"/>
  <c r="L72" s="1"/>
  <c r="R29" i="7"/>
  <c r="R41" s="1"/>
  <c r="R39"/>
  <c r="R70" i="6"/>
  <c r="R72" s="1"/>
  <c r="R71" i="4"/>
  <c r="N22" i="6"/>
  <c r="Q22"/>
  <c r="L22"/>
  <c r="S22"/>
  <c r="P22"/>
  <c r="M22"/>
  <c r="R22"/>
  <c r="K22"/>
  <c r="R74" i="5"/>
  <c r="R32"/>
  <c r="E45"/>
  <c r="E45" i="4"/>
  <c r="G53" i="6"/>
  <c r="F40" i="4"/>
  <c r="F32" s="1"/>
  <c r="L40"/>
  <c r="S40"/>
  <c r="P40"/>
  <c r="H40" i="6"/>
  <c r="L40"/>
  <c r="P40"/>
  <c r="R40"/>
  <c r="G40" i="5"/>
  <c r="E74"/>
  <c r="Q40"/>
  <c r="T32"/>
  <c r="T74"/>
  <c r="Q53" i="4"/>
  <c r="W33" i="20"/>
  <c r="W59" s="1"/>
  <c r="T33"/>
  <c r="S33"/>
  <c r="F28" i="6"/>
  <c r="G28"/>
  <c r="H28"/>
  <c r="I28"/>
  <c r="I57" i="4"/>
  <c r="E23" i="5"/>
  <c r="E23" i="6"/>
  <c r="P28" i="2"/>
  <c r="P27" s="1"/>
  <c r="P29" s="1"/>
  <c r="T25"/>
  <c r="P37"/>
  <c r="T20" i="5" s="1"/>
  <c r="O46" i="1"/>
  <c r="T47"/>
  <c r="AH11" i="5"/>
  <c r="V13"/>
  <c r="AH13" s="1"/>
  <c r="O53" i="1"/>
  <c r="T50"/>
  <c r="O54"/>
  <c r="Q8" i="5"/>
  <c r="L8"/>
  <c r="O14"/>
  <c r="R8"/>
  <c r="N8"/>
  <c r="N13" s="1"/>
  <c r="S8"/>
  <c r="AE8"/>
  <c r="K8"/>
  <c r="P8"/>
  <c r="M8"/>
  <c r="T17" i="1"/>
  <c r="J25" i="4" s="1"/>
  <c r="T8" i="7"/>
  <c r="Q7"/>
  <c r="T45" i="1"/>
  <c r="I14" i="4"/>
  <c r="I70" s="1"/>
  <c r="I72" s="1"/>
  <c r="I7" i="5"/>
  <c r="H7"/>
  <c r="G7"/>
  <c r="AC7"/>
  <c r="F7"/>
  <c r="E14"/>
  <c r="E13"/>
  <c r="W9" i="6"/>
  <c r="U13"/>
  <c r="AG13" s="1"/>
  <c r="Q48" i="7"/>
  <c r="Q61"/>
  <c r="I147" i="16"/>
  <c r="S71" i="4"/>
  <c r="S70" i="6"/>
  <c r="S72" s="1"/>
  <c r="H61" i="5"/>
  <c r="U18" i="6"/>
  <c r="F18"/>
  <c r="G18"/>
  <c r="I18"/>
  <c r="H18"/>
  <c r="Q19" i="5"/>
  <c r="M19"/>
  <c r="P19"/>
  <c r="S19"/>
  <c r="R19"/>
  <c r="E14" i="6"/>
  <c r="E45"/>
  <c r="I40" i="4"/>
  <c r="N40"/>
  <c r="O74"/>
  <c r="O62"/>
  <c r="O32"/>
  <c r="T32"/>
  <c r="T74"/>
  <c r="T62"/>
  <c r="G40" i="6"/>
  <c r="K40"/>
  <c r="Q40"/>
  <c r="H40" i="5"/>
  <c r="H32" s="1"/>
  <c r="M40"/>
  <c r="P40"/>
  <c r="P53" i="4"/>
  <c r="AC59" i="19"/>
  <c r="I28" i="4"/>
  <c r="G28"/>
  <c r="T45" i="6"/>
  <c r="T74"/>
  <c r="F45" i="4"/>
  <c r="AC33" i="20"/>
  <c r="AC59" s="1"/>
  <c r="V21" i="4"/>
  <c r="U21" s="1"/>
  <c r="W21" s="1"/>
  <c r="O21"/>
  <c r="R34" i="2"/>
  <c r="R35" s="1"/>
  <c r="T31"/>
  <c r="P27" i="1"/>
  <c r="P26" s="1"/>
  <c r="P28" s="1"/>
  <c r="T24"/>
  <c r="T36" s="1"/>
  <c r="P36"/>
  <c r="J20" i="5" s="1"/>
  <c r="E19" i="4"/>
  <c r="E19" i="5"/>
  <c r="E19" i="6"/>
  <c r="O19"/>
  <c r="L19" s="1"/>
  <c r="J24"/>
  <c r="W11" i="5"/>
  <c r="AG11"/>
  <c r="T51" i="1"/>
  <c r="O19" i="7"/>
  <c r="T7"/>
  <c r="O9"/>
  <c r="T25"/>
  <c r="T37" s="1"/>
  <c r="N28"/>
  <c r="N27" s="1"/>
  <c r="N37"/>
  <c r="X18" i="5" s="1"/>
  <c r="V18" s="1"/>
  <c r="U18" s="1"/>
  <c r="W18" s="1"/>
  <c r="Q27" i="1"/>
  <c r="Q39" s="1"/>
  <c r="Q36"/>
  <c r="J21" i="5" s="1"/>
  <c r="Q26" i="1"/>
  <c r="Q38" s="1"/>
  <c r="L11" i="4"/>
  <c r="K11"/>
  <c r="S11"/>
  <c r="R11"/>
  <c r="AE11"/>
  <c r="N11"/>
  <c r="Q11"/>
  <c r="M11"/>
  <c r="P11"/>
  <c r="G147" i="16"/>
  <c r="G107"/>
  <c r="R37" i="2"/>
  <c r="T22" i="5" s="1"/>
  <c r="K6" i="4"/>
  <c r="O13"/>
  <c r="AE13" s="1"/>
  <c r="AE6"/>
  <c r="R6"/>
  <c r="N6"/>
  <c r="M6"/>
  <c r="P6"/>
  <c r="Q6"/>
  <c r="L6"/>
  <c r="S6"/>
  <c r="T46" i="7"/>
  <c r="T58" s="1"/>
  <c r="R58"/>
  <c r="X22" i="6" s="1"/>
  <c r="V22" s="1"/>
  <c r="U22" s="1"/>
  <c r="W22" s="1"/>
  <c r="R49" i="7"/>
  <c r="R61" s="1"/>
  <c r="I105" i="16"/>
  <c r="S87" s="1"/>
  <c r="I145"/>
  <c r="J10" i="18"/>
  <c r="J4"/>
  <c r="J9"/>
  <c r="I125" i="16"/>
  <c r="I119"/>
  <c r="N71" i="4"/>
  <c r="N70" i="6"/>
  <c r="N72" s="1"/>
  <c r="I22"/>
  <c r="H18" i="4"/>
  <c r="N19" i="5"/>
  <c r="E32"/>
  <c r="G22" i="6" l="1"/>
  <c r="F28" i="4"/>
  <c r="P45"/>
  <c r="Q28" i="6"/>
  <c r="G45"/>
  <c r="V25" i="4"/>
  <c r="V29" s="1"/>
  <c r="V63" s="1"/>
  <c r="G28" i="5"/>
  <c r="I17" i="6"/>
  <c r="M13"/>
  <c r="N13"/>
  <c r="R61" i="4"/>
  <c r="Q45" i="6"/>
  <c r="K45" i="5"/>
  <c r="L61" i="4"/>
  <c r="M23"/>
  <c r="Q23"/>
  <c r="R23"/>
  <c r="Q61"/>
  <c r="K61" i="5"/>
  <c r="M8" i="1"/>
  <c r="M20" s="1"/>
  <c r="J17" i="4" s="1"/>
  <c r="M29" i="2"/>
  <c r="M41" s="1"/>
  <c r="T17" i="5" s="1"/>
  <c r="V17" s="1"/>
  <c r="M9" i="2"/>
  <c r="M21" s="1"/>
  <c r="T17" i="4" s="1"/>
  <c r="V17" s="1"/>
  <c r="U17" s="1"/>
  <c r="W17" s="1"/>
  <c r="M21" i="7"/>
  <c r="X17" i="4" s="1"/>
  <c r="M28" i="1"/>
  <c r="M40" s="1"/>
  <c r="J17" i="5" s="1"/>
  <c r="F17" s="1"/>
  <c r="M49" i="2"/>
  <c r="M61" s="1"/>
  <c r="T17" i="6" s="1"/>
  <c r="O39" i="7"/>
  <c r="O29"/>
  <c r="O41"/>
  <c r="T59"/>
  <c r="X25" i="6" s="1"/>
  <c r="X29" s="1"/>
  <c r="X65" s="1"/>
  <c r="T58" i="2"/>
  <c r="T25" i="6" s="1"/>
  <c r="T29" s="1"/>
  <c r="T65" s="1"/>
  <c r="D24" i="27"/>
  <c r="H61" i="4"/>
  <c r="C24" i="27"/>
  <c r="G45" i="4"/>
  <c r="I22"/>
  <c r="O20" i="7"/>
  <c r="S61" i="6"/>
  <c r="L61"/>
  <c r="F22"/>
  <c r="I61" i="4"/>
  <c r="S28" i="6"/>
  <c r="F22" i="4"/>
  <c r="AB60" i="19"/>
  <c r="J62" i="5" s="1"/>
  <c r="J64" s="1"/>
  <c r="U14" i="4"/>
  <c r="W14" s="1"/>
  <c r="K28" i="6"/>
  <c r="O40" i="7"/>
  <c r="AG6" i="4"/>
  <c r="W6"/>
  <c r="AI6" s="1"/>
  <c r="F18"/>
  <c r="P28" i="6"/>
  <c r="G61"/>
  <c r="G45" i="5"/>
  <c r="N15" i="2"/>
  <c r="H20" i="4"/>
  <c r="F20"/>
  <c r="I20"/>
  <c r="I18"/>
  <c r="P13"/>
  <c r="T56" i="1"/>
  <c r="U13" i="4"/>
  <c r="AG13" s="1"/>
  <c r="L28" i="6"/>
  <c r="F28" i="5"/>
  <c r="B35" i="24"/>
  <c r="B35" i="27" s="1"/>
  <c r="B17" i="24"/>
  <c r="R61" i="5"/>
  <c r="N45" i="6"/>
  <c r="Q61" i="5"/>
  <c r="T53" i="1"/>
  <c r="O23" i="6"/>
  <c r="M23" s="1"/>
  <c r="R28"/>
  <c r="Q45" i="4"/>
  <c r="T24" i="6"/>
  <c r="H13"/>
  <c r="T37" i="1"/>
  <c r="J25" i="5" s="1"/>
  <c r="J29" s="1"/>
  <c r="P22" i="4"/>
  <c r="Q59" i="1"/>
  <c r="R45" i="6"/>
  <c r="Q32" i="4"/>
  <c r="R20" i="1"/>
  <c r="I28" i="5"/>
  <c r="H32" i="4"/>
  <c r="L13" i="6"/>
  <c r="N45" i="5"/>
  <c r="G61"/>
  <c r="L45"/>
  <c r="P61" i="4"/>
  <c r="I45"/>
  <c r="S23"/>
  <c r="K61"/>
  <c r="T35" i="7"/>
  <c r="T54" i="2"/>
  <c r="T16" i="1"/>
  <c r="O35" i="2"/>
  <c r="T35" s="1"/>
  <c r="R29"/>
  <c r="R41" s="1"/>
  <c r="P27" i="7"/>
  <c r="G20" i="4"/>
  <c r="G23"/>
  <c r="I23"/>
  <c r="H23"/>
  <c r="F23"/>
  <c r="N50" i="7"/>
  <c r="B32" i="24"/>
  <c r="B32" i="27" s="1"/>
  <c r="Q49" i="2"/>
  <c r="Q61" s="1"/>
  <c r="C35" i="26"/>
  <c r="C35" i="27"/>
  <c r="AC13" i="6"/>
  <c r="O28" i="1"/>
  <c r="O40" s="1"/>
  <c r="O14"/>
  <c r="T14" s="1"/>
  <c r="T13"/>
  <c r="S18" i="5"/>
  <c r="P18"/>
  <c r="R18"/>
  <c r="Q18"/>
  <c r="B18" i="24"/>
  <c r="F18" s="1"/>
  <c r="W13" i="6"/>
  <c r="AI13" s="1"/>
  <c r="R26" i="1"/>
  <c r="R38" s="1"/>
  <c r="N29" i="2"/>
  <c r="N41" s="1"/>
  <c r="S55"/>
  <c r="S61" s="1"/>
  <c r="O6" i="1"/>
  <c r="T7"/>
  <c r="O19"/>
  <c r="T19" s="1"/>
  <c r="J27" i="4" s="1"/>
  <c r="P15" i="2"/>
  <c r="T14"/>
  <c r="P20"/>
  <c r="T20" s="1"/>
  <c r="T27" i="4" s="1"/>
  <c r="T8" i="2"/>
  <c r="O7"/>
  <c r="G4" i="18"/>
  <c r="G9"/>
  <c r="G10"/>
  <c r="H25"/>
  <c r="H26"/>
  <c r="H20"/>
  <c r="L18" i="5"/>
  <c r="F18"/>
  <c r="H18"/>
  <c r="K18"/>
  <c r="G18"/>
  <c r="N18"/>
  <c r="M18"/>
  <c r="I18"/>
  <c r="L9" i="18"/>
  <c r="L4"/>
  <c r="L10"/>
  <c r="V25" i="6"/>
  <c r="G20" i="18"/>
  <c r="G26"/>
  <c r="G25"/>
  <c r="U25" i="4"/>
  <c r="U29" s="1"/>
  <c r="U63" s="1"/>
  <c r="P21" i="2"/>
  <c r="T15"/>
  <c r="G52" i="17"/>
  <c r="G51"/>
  <c r="P29" i="7"/>
  <c r="P41" s="1"/>
  <c r="P39"/>
  <c r="H4" i="18"/>
  <c r="H9"/>
  <c r="H10"/>
  <c r="N26" i="1"/>
  <c r="S6"/>
  <c r="H51" i="17"/>
  <c r="H52"/>
  <c r="L20" i="18"/>
  <c r="L25"/>
  <c r="L26"/>
  <c r="O19" i="4"/>
  <c r="W9" i="5"/>
  <c r="AI9" s="1"/>
  <c r="AG9"/>
  <c r="T54" i="1"/>
  <c r="H61" i="6"/>
  <c r="Q41" i="2"/>
  <c r="T55"/>
  <c r="O39"/>
  <c r="O29"/>
  <c r="T59" i="1"/>
  <c r="J27" i="6" s="1"/>
  <c r="E27" s="1"/>
  <c r="N23"/>
  <c r="S27" i="2"/>
  <c r="S39" s="1"/>
  <c r="I13" i="5"/>
  <c r="E21" i="4"/>
  <c r="E24" s="1"/>
  <c r="E21" i="6"/>
  <c r="E24" s="1"/>
  <c r="E21" i="5"/>
  <c r="G21" s="1"/>
  <c r="S46" i="1"/>
  <c r="S59"/>
  <c r="AG9" i="4"/>
  <c r="W9"/>
  <c r="AI9" s="1"/>
  <c r="W12" i="5"/>
  <c r="AI12" s="1"/>
  <c r="AG12"/>
  <c r="S13" i="4"/>
  <c r="Q28" i="1"/>
  <c r="Q40" s="1"/>
  <c r="N19" i="6"/>
  <c r="K19"/>
  <c r="T37" i="2"/>
  <c r="P48" i="1"/>
  <c r="P60" s="1"/>
  <c r="D18" i="24"/>
  <c r="C17"/>
  <c r="E17" s="1"/>
  <c r="T60" i="2"/>
  <c r="T27" i="6" s="1"/>
  <c r="S14" i="4"/>
  <c r="S70" s="1"/>
  <c r="M14"/>
  <c r="M70" s="1"/>
  <c r="M72" s="1"/>
  <c r="O70"/>
  <c r="O72" s="1"/>
  <c r="Q14"/>
  <c r="Q70" s="1"/>
  <c r="Q72" s="1"/>
  <c r="R14"/>
  <c r="R70" s="1"/>
  <c r="R72" s="1"/>
  <c r="P14"/>
  <c r="P70" s="1"/>
  <c r="P72" s="1"/>
  <c r="N14"/>
  <c r="N70" s="1"/>
  <c r="N72" s="1"/>
  <c r="L14"/>
  <c r="L70" s="1"/>
  <c r="L72" s="1"/>
  <c r="K14"/>
  <c r="K70" s="1"/>
  <c r="K72" s="1"/>
  <c r="S39" i="7"/>
  <c r="S29"/>
  <c r="S41" s="1"/>
  <c r="N21" i="2"/>
  <c r="N58" i="1"/>
  <c r="N48"/>
  <c r="N60" s="1"/>
  <c r="T56" i="7"/>
  <c r="N62"/>
  <c r="P60"/>
  <c r="P50"/>
  <c r="P62" s="1"/>
  <c r="T49" i="2"/>
  <c r="N61"/>
  <c r="O18" i="4"/>
  <c r="M18" s="1"/>
  <c r="S72"/>
  <c r="C18" i="24"/>
  <c r="B16"/>
  <c r="Q61" i="6"/>
  <c r="L61" i="5"/>
  <c r="H13"/>
  <c r="K23" i="6"/>
  <c r="I13"/>
  <c r="P45" i="5"/>
  <c r="R61" i="6"/>
  <c r="I61" i="5"/>
  <c r="B11" i="27"/>
  <c r="B11" i="26"/>
  <c r="C55" i="24"/>
  <c r="M13" i="5"/>
  <c r="L13"/>
  <c r="I45" i="6"/>
  <c r="C8" i="27"/>
  <c r="C8" i="26"/>
  <c r="C7" i="24"/>
  <c r="C6" i="27"/>
  <c r="C6" i="26"/>
  <c r="M61" i="4"/>
  <c r="W7" i="5"/>
  <c r="AI7" s="1"/>
  <c r="AG7"/>
  <c r="F61" i="6"/>
  <c r="W7" i="4"/>
  <c r="AI7" s="1"/>
  <c r="AG7"/>
  <c r="F45" i="6"/>
  <c r="Q45" i="5"/>
  <c r="D8" i="24"/>
  <c r="D4" i="27"/>
  <c r="D4" i="26"/>
  <c r="D5" i="24"/>
  <c r="D11"/>
  <c r="W6" i="5"/>
  <c r="AI6" s="1"/>
  <c r="AG6"/>
  <c r="L13" i="4"/>
  <c r="N13"/>
  <c r="K13"/>
  <c r="U13" i="5"/>
  <c r="AG13" s="1"/>
  <c r="I32" i="4"/>
  <c r="H74" i="5"/>
  <c r="D16" i="24"/>
  <c r="I61" i="6"/>
  <c r="S13"/>
  <c r="P13"/>
  <c r="R13"/>
  <c r="AE13"/>
  <c r="Q13"/>
  <c r="M45" i="4"/>
  <c r="D17" i="24"/>
  <c r="N61" i="5"/>
  <c r="F45"/>
  <c r="W14"/>
  <c r="V71"/>
  <c r="W12" i="4"/>
  <c r="AI12" s="1"/>
  <c r="AG12"/>
  <c r="D55" i="24"/>
  <c r="C11" i="27"/>
  <c r="C11" i="26"/>
  <c r="P13" i="5"/>
  <c r="S13"/>
  <c r="R13"/>
  <c r="Q13"/>
  <c r="AE13"/>
  <c r="P61"/>
  <c r="Q13" i="4"/>
  <c r="C9" i="24"/>
  <c r="C9" i="27" s="1"/>
  <c r="C34" i="24"/>
  <c r="C34" i="27" s="1"/>
  <c r="G13" i="5"/>
  <c r="K13"/>
  <c r="B33" i="24"/>
  <c r="D34"/>
  <c r="D34" i="27" s="1"/>
  <c r="F13" i="6"/>
  <c r="M28" i="5"/>
  <c r="V71" i="6"/>
  <c r="W14"/>
  <c r="S14"/>
  <c r="Q14"/>
  <c r="P14"/>
  <c r="L14"/>
  <c r="K14"/>
  <c r="N14"/>
  <c r="R14"/>
  <c r="M14"/>
  <c r="AG8" i="4"/>
  <c r="W8"/>
  <c r="AI8" s="1"/>
  <c r="C16" i="24"/>
  <c r="S45" i="6"/>
  <c r="W10" i="4"/>
  <c r="AI10" s="1"/>
  <c r="AG10"/>
  <c r="K61" i="6"/>
  <c r="L45"/>
  <c r="C5" i="26"/>
  <c r="C5" i="27"/>
  <c r="AG8" i="5"/>
  <c r="W8"/>
  <c r="AI8" s="1"/>
  <c r="D6" i="27"/>
  <c r="D7" i="24"/>
  <c r="D6" i="26"/>
  <c r="B8" i="24"/>
  <c r="B5"/>
  <c r="B4" i="27"/>
  <c r="B4" i="26"/>
  <c r="T15" i="7"/>
  <c r="P21"/>
  <c r="U17" i="5"/>
  <c r="N39" i="7"/>
  <c r="T27"/>
  <c r="T39" s="1"/>
  <c r="X26" i="5" s="1"/>
  <c r="M74"/>
  <c r="M32"/>
  <c r="G74" i="6"/>
  <c r="G32"/>
  <c r="I74" i="4"/>
  <c r="I62"/>
  <c r="R13"/>
  <c r="V22" i="5"/>
  <c r="U22" s="1"/>
  <c r="W22" s="1"/>
  <c r="C9" i="26"/>
  <c r="N29" i="7"/>
  <c r="O21"/>
  <c r="P19" i="6"/>
  <c r="Q19"/>
  <c r="R19"/>
  <c r="S19"/>
  <c r="P38" i="1"/>
  <c r="P39"/>
  <c r="T27"/>
  <c r="T39" s="1"/>
  <c r="J27" i="5" s="1"/>
  <c r="AC60" i="20"/>
  <c r="T62" i="5" s="1"/>
  <c r="T63"/>
  <c r="O63" s="1"/>
  <c r="M63" s="1"/>
  <c r="G14" i="6"/>
  <c r="G71" s="1"/>
  <c r="G72" s="1"/>
  <c r="F14"/>
  <c r="F71" s="1"/>
  <c r="F72" s="1"/>
  <c r="H14"/>
  <c r="H71" s="1"/>
  <c r="H72" s="1"/>
  <c r="E71"/>
  <c r="I14"/>
  <c r="I71" s="1"/>
  <c r="I72" s="1"/>
  <c r="Q60" i="7"/>
  <c r="Q50"/>
  <c r="Q62" s="1"/>
  <c r="AC13" i="5"/>
  <c r="Q19" i="7"/>
  <c r="Q9"/>
  <c r="Q21" s="1"/>
  <c r="O59" i="1"/>
  <c r="V20" i="5"/>
  <c r="U20" s="1"/>
  <c r="W20" s="1"/>
  <c r="T24"/>
  <c r="P23" i="6"/>
  <c r="R23"/>
  <c r="P74"/>
  <c r="P32"/>
  <c r="S62" i="4"/>
  <c r="S74"/>
  <c r="G13" i="6"/>
  <c r="K28" i="18"/>
  <c r="S89" i="16"/>
  <c r="K12" i="18"/>
  <c r="K11"/>
  <c r="T38" i="2"/>
  <c r="T25" i="5" s="1"/>
  <c r="M74" i="6"/>
  <c r="M32"/>
  <c r="M62" i="4"/>
  <c r="M74"/>
  <c r="M32"/>
  <c r="O50" i="7"/>
  <c r="O60"/>
  <c r="S19"/>
  <c r="S9"/>
  <c r="S21" s="1"/>
  <c r="G22" i="5"/>
  <c r="F22"/>
  <c r="I22"/>
  <c r="O22"/>
  <c r="N22" s="1"/>
  <c r="H22"/>
  <c r="F32" i="6"/>
  <c r="F74"/>
  <c r="F35" i="24"/>
  <c r="F35" i="27" s="1"/>
  <c r="L28" i="5"/>
  <c r="I12" i="18"/>
  <c r="I11"/>
  <c r="Q89" i="16"/>
  <c r="I28" i="18"/>
  <c r="Q74" i="6"/>
  <c r="Q32"/>
  <c r="O58" i="1"/>
  <c r="O48"/>
  <c r="T46"/>
  <c r="T58" s="1"/>
  <c r="J26" i="6" s="1"/>
  <c r="I23"/>
  <c r="F23"/>
  <c r="H23"/>
  <c r="G23"/>
  <c r="D33" i="24"/>
  <c r="D33" i="27" s="1"/>
  <c r="L74" i="6"/>
  <c r="L32"/>
  <c r="L74" i="4"/>
  <c r="L62"/>
  <c r="L32"/>
  <c r="B34" i="24"/>
  <c r="S21" i="6"/>
  <c r="N21"/>
  <c r="P21"/>
  <c r="K21"/>
  <c r="Q21"/>
  <c r="M21"/>
  <c r="R21"/>
  <c r="L21"/>
  <c r="X24" i="4"/>
  <c r="V19"/>
  <c r="K32"/>
  <c r="K74"/>
  <c r="K62"/>
  <c r="T14" i="7"/>
  <c r="P20"/>
  <c r="S32" i="5"/>
  <c r="S74"/>
  <c r="I74" i="6"/>
  <c r="I32"/>
  <c r="E63"/>
  <c r="K28" i="5"/>
  <c r="I21"/>
  <c r="O21"/>
  <c r="L21" s="1"/>
  <c r="F21"/>
  <c r="I19" i="6"/>
  <c r="F19"/>
  <c r="H19"/>
  <c r="G19"/>
  <c r="P40" i="1"/>
  <c r="S21" i="4"/>
  <c r="R21"/>
  <c r="M21"/>
  <c r="N21"/>
  <c r="L21"/>
  <c r="K21"/>
  <c r="Q21"/>
  <c r="P21"/>
  <c r="I14" i="5"/>
  <c r="I71" s="1"/>
  <c r="I72" s="1"/>
  <c r="E71"/>
  <c r="E72" s="1"/>
  <c r="H14"/>
  <c r="H71" s="1"/>
  <c r="H72" s="1"/>
  <c r="G14"/>
  <c r="G71" s="1"/>
  <c r="G72" s="1"/>
  <c r="F14"/>
  <c r="F71" s="1"/>
  <c r="F72" s="1"/>
  <c r="R48" i="7"/>
  <c r="M13" i="4"/>
  <c r="N40" i="7"/>
  <c r="T28"/>
  <c r="T40" s="1"/>
  <c r="X27" i="5" s="1"/>
  <c r="AI11"/>
  <c r="M19" i="6"/>
  <c r="H19" i="5"/>
  <c r="I19"/>
  <c r="G19"/>
  <c r="F19"/>
  <c r="H20"/>
  <c r="G20"/>
  <c r="F20"/>
  <c r="O20"/>
  <c r="L20" s="1"/>
  <c r="I20"/>
  <c r="E18" i="24"/>
  <c r="P32" i="5"/>
  <c r="P74"/>
  <c r="K74" i="6"/>
  <c r="K32"/>
  <c r="N62" i="4"/>
  <c r="N32"/>
  <c r="N74"/>
  <c r="W18" i="6"/>
  <c r="F13" i="5"/>
  <c r="T57" i="1"/>
  <c r="J25" i="6" s="1"/>
  <c r="T20" i="7"/>
  <c r="X27" i="4" s="1"/>
  <c r="P39" i="2"/>
  <c r="P40"/>
  <c r="T28"/>
  <c r="I23" i="5"/>
  <c r="F23"/>
  <c r="H23"/>
  <c r="G23"/>
  <c r="G74"/>
  <c r="G32"/>
  <c r="H32" i="6"/>
  <c r="H74"/>
  <c r="F74" i="4"/>
  <c r="F62"/>
  <c r="N20" i="1"/>
  <c r="V23" i="5"/>
  <c r="U23" s="1"/>
  <c r="W23" s="1"/>
  <c r="O23"/>
  <c r="K32"/>
  <c r="K74"/>
  <c r="C33" i="24"/>
  <c r="C33" i="27" s="1"/>
  <c r="G74" i="4"/>
  <c r="G62"/>
  <c r="B24" i="24"/>
  <c r="G72" i="4"/>
  <c r="W25"/>
  <c r="W29" s="1"/>
  <c r="W63" s="1"/>
  <c r="L32" i="5"/>
  <c r="L74"/>
  <c r="S74" i="6"/>
  <c r="S32"/>
  <c r="R74" i="4"/>
  <c r="R32"/>
  <c r="R62"/>
  <c r="H74"/>
  <c r="H62"/>
  <c r="E62" i="6"/>
  <c r="E64" s="1"/>
  <c r="J64"/>
  <c r="H19" i="4"/>
  <c r="G19"/>
  <c r="I19"/>
  <c r="F19"/>
  <c r="T34" i="2"/>
  <c r="R40"/>
  <c r="O25" i="4"/>
  <c r="N25" s="1"/>
  <c r="J29"/>
  <c r="L14" i="5"/>
  <c r="N14"/>
  <c r="M14"/>
  <c r="K14"/>
  <c r="E27"/>
  <c r="E27" i="4"/>
  <c r="P41" i="2"/>
  <c r="X24" i="5"/>
  <c r="T63" i="6"/>
  <c r="O63" s="1"/>
  <c r="W60" i="20"/>
  <c r="T62" i="6" s="1"/>
  <c r="O62" s="1"/>
  <c r="Q74" i="5"/>
  <c r="Q32"/>
  <c r="R74" i="6"/>
  <c r="R32"/>
  <c r="P32" i="4"/>
  <c r="P74"/>
  <c r="P62"/>
  <c r="X24" i="6"/>
  <c r="AI11" i="4"/>
  <c r="Q58" i="1"/>
  <c r="Q48"/>
  <c r="Q60" s="1"/>
  <c r="I32" i="5"/>
  <c r="I74"/>
  <c r="Q74" i="4"/>
  <c r="Q62"/>
  <c r="S50" i="7"/>
  <c r="S62" s="1"/>
  <c r="S60"/>
  <c r="T49"/>
  <c r="T61" s="1"/>
  <c r="X27" i="6" s="1"/>
  <c r="S32" i="4"/>
  <c r="F32" i="5"/>
  <c r="F74"/>
  <c r="N74" i="6"/>
  <c r="N32"/>
  <c r="S28" i="5"/>
  <c r="P28"/>
  <c r="Q28"/>
  <c r="R28"/>
  <c r="E63"/>
  <c r="O17" i="4" l="1"/>
  <c r="G17"/>
  <c r="I17"/>
  <c r="F17"/>
  <c r="H17"/>
  <c r="J24" i="5"/>
  <c r="E24"/>
  <c r="H21"/>
  <c r="J24" i="4"/>
  <c r="H17" i="5"/>
  <c r="K17" i="4"/>
  <c r="M17"/>
  <c r="T24"/>
  <c r="O17" i="6"/>
  <c r="V17"/>
  <c r="T19" i="7"/>
  <c r="X26" i="4" s="1"/>
  <c r="O17" i="5"/>
  <c r="G17"/>
  <c r="L17"/>
  <c r="I17"/>
  <c r="N17"/>
  <c r="O11" i="26"/>
  <c r="O27" i="4"/>
  <c r="P27" s="1"/>
  <c r="T30" i="6"/>
  <c r="T66" s="1"/>
  <c r="E18" i="27"/>
  <c r="D17"/>
  <c r="F16" i="24"/>
  <c r="B16" i="27"/>
  <c r="D18"/>
  <c r="B17"/>
  <c r="C32" i="24"/>
  <c r="C32" i="27" s="1"/>
  <c r="B24"/>
  <c r="F18"/>
  <c r="E17"/>
  <c r="C16"/>
  <c r="C18"/>
  <c r="C17"/>
  <c r="B18"/>
  <c r="C26" i="24"/>
  <c r="O25" i="5"/>
  <c r="L25" s="1"/>
  <c r="C32" i="26"/>
  <c r="W13" i="4"/>
  <c r="AI13" s="1"/>
  <c r="T27" i="2"/>
  <c r="T39" s="1"/>
  <c r="T26" i="5" s="1"/>
  <c r="T26" i="1"/>
  <c r="T38" s="1"/>
  <c r="J26" i="5" s="1"/>
  <c r="V27" i="6"/>
  <c r="U27" s="1"/>
  <c r="W27" s="1"/>
  <c r="O62" i="5"/>
  <c r="N62" s="1"/>
  <c r="B23" i="24"/>
  <c r="J30" i="5"/>
  <c r="J66" s="1"/>
  <c r="C34" i="26"/>
  <c r="E35" i="24"/>
  <c r="E35" i="27" s="1"/>
  <c r="S23" i="6"/>
  <c r="E32" i="24"/>
  <c r="E32" i="27" s="1"/>
  <c r="L23" i="6"/>
  <c r="R28" i="1"/>
  <c r="R40" s="1"/>
  <c r="E62" i="5"/>
  <c r="E64" s="1"/>
  <c r="D26" i="24"/>
  <c r="B32" i="26"/>
  <c r="S29" i="2"/>
  <c r="S41" s="1"/>
  <c r="D34" i="26"/>
  <c r="O27" i="6"/>
  <c r="K27" s="1"/>
  <c r="F17" i="24"/>
  <c r="B35" i="26"/>
  <c r="Q23" i="6"/>
  <c r="O41" i="2"/>
  <c r="K21" i="5"/>
  <c r="D16" i="27"/>
  <c r="D32" i="24"/>
  <c r="D32" i="27" s="1"/>
  <c r="B36" i="24"/>
  <c r="B36" i="27" s="1"/>
  <c r="B34"/>
  <c r="B33" i="26"/>
  <c r="B33" i="27"/>
  <c r="R27" i="4"/>
  <c r="Q27"/>
  <c r="N19"/>
  <c r="S19"/>
  <c r="R19"/>
  <c r="K19"/>
  <c r="L19"/>
  <c r="P19"/>
  <c r="M19"/>
  <c r="M24" s="1"/>
  <c r="Q19"/>
  <c r="L27"/>
  <c r="M27"/>
  <c r="V27"/>
  <c r="U27" s="1"/>
  <c r="W27" s="1"/>
  <c r="T61" i="2"/>
  <c r="U25" i="6"/>
  <c r="V29"/>
  <c r="V65" s="1"/>
  <c r="S18" i="1"/>
  <c r="S8"/>
  <c r="S20" s="1"/>
  <c r="O18"/>
  <c r="O8"/>
  <c r="T6"/>
  <c r="N38"/>
  <c r="N28"/>
  <c r="N40" s="1"/>
  <c r="O19" i="2"/>
  <c r="T19" s="1"/>
  <c r="T26" i="4" s="1"/>
  <c r="T30" s="1"/>
  <c r="T7" i="2"/>
  <c r="O9"/>
  <c r="O24" i="4"/>
  <c r="L18"/>
  <c r="N18"/>
  <c r="H21"/>
  <c r="H24" s="1"/>
  <c r="I21"/>
  <c r="I24" s="1"/>
  <c r="F21"/>
  <c r="F24" s="1"/>
  <c r="G21"/>
  <c r="K25"/>
  <c r="G24"/>
  <c r="B22" i="24"/>
  <c r="T40" i="2"/>
  <c r="T27" i="5" s="1"/>
  <c r="K18" i="4"/>
  <c r="S18"/>
  <c r="Q18"/>
  <c r="P18"/>
  <c r="R18"/>
  <c r="S58" i="1"/>
  <c r="S48"/>
  <c r="S60" s="1"/>
  <c r="F21" i="6"/>
  <c r="F24" s="1"/>
  <c r="I21"/>
  <c r="I24" s="1"/>
  <c r="G21"/>
  <c r="G24" s="1"/>
  <c r="H21"/>
  <c r="H24" s="1"/>
  <c r="T29" i="2"/>
  <c r="T41" s="1"/>
  <c r="N21" i="5"/>
  <c r="K22"/>
  <c r="M20"/>
  <c r="M22"/>
  <c r="C7" i="27"/>
  <c r="C7" i="26"/>
  <c r="X30" i="5"/>
  <c r="X66" s="1"/>
  <c r="D26" i="27"/>
  <c r="C26"/>
  <c r="B20" i="24"/>
  <c r="C20"/>
  <c r="D7" i="26"/>
  <c r="D7" i="27"/>
  <c r="D11" i="26"/>
  <c r="D11" i="27"/>
  <c r="E55" i="24"/>
  <c r="D8" i="27"/>
  <c r="D8" i="26"/>
  <c r="D9" i="24"/>
  <c r="C55" i="26"/>
  <c r="C55" i="27"/>
  <c r="E16" i="24"/>
  <c r="L27" i="6"/>
  <c r="N20" i="5"/>
  <c r="D32" i="26"/>
  <c r="F33" i="24"/>
  <c r="B5" i="26"/>
  <c r="B5" i="27"/>
  <c r="D5" i="26"/>
  <c r="D5" i="27"/>
  <c r="W13" i="5"/>
  <c r="AI13" s="1"/>
  <c r="M21"/>
  <c r="B8" i="26"/>
  <c r="B8" i="27"/>
  <c r="B9" i="24"/>
  <c r="D55" i="26"/>
  <c r="D55" i="27"/>
  <c r="Q62" i="6"/>
  <c r="S62"/>
  <c r="P62"/>
  <c r="O64"/>
  <c r="K64" s="1"/>
  <c r="R62"/>
  <c r="L62"/>
  <c r="M62"/>
  <c r="K62"/>
  <c r="N62"/>
  <c r="Q63"/>
  <c r="S63"/>
  <c r="P63"/>
  <c r="R63"/>
  <c r="L63"/>
  <c r="M63"/>
  <c r="N63"/>
  <c r="K63"/>
  <c r="B36" i="26"/>
  <c r="D20" i="24"/>
  <c r="F32"/>
  <c r="F32" i="27" s="1"/>
  <c r="L63" i="5"/>
  <c r="N63"/>
  <c r="J63" i="4"/>
  <c r="G64" i="5"/>
  <c r="I64"/>
  <c r="H64"/>
  <c r="F64"/>
  <c r="K63"/>
  <c r="H27" i="4"/>
  <c r="I27"/>
  <c r="G27"/>
  <c r="F27"/>
  <c r="P27" i="6"/>
  <c r="L25" i="4"/>
  <c r="M25"/>
  <c r="G62" i="5"/>
  <c r="F62"/>
  <c r="I62"/>
  <c r="H62"/>
  <c r="H24"/>
  <c r="R60" i="7"/>
  <c r="R50"/>
  <c r="R62" s="1"/>
  <c r="D23" i="24"/>
  <c r="E26" i="6"/>
  <c r="E26" i="5"/>
  <c r="O26" i="6"/>
  <c r="K26" s="1"/>
  <c r="E26" i="4"/>
  <c r="O62" i="7"/>
  <c r="O27" i="5"/>
  <c r="N27" s="1"/>
  <c r="T9" i="7"/>
  <c r="J65" i="5"/>
  <c r="V27"/>
  <c r="U27" s="1"/>
  <c r="W27" s="1"/>
  <c r="F24"/>
  <c r="B34" i="26"/>
  <c r="E34" i="24"/>
  <c r="E34" i="27" s="1"/>
  <c r="F34" i="24"/>
  <c r="F34" i="27" s="1"/>
  <c r="O60" i="1"/>
  <c r="I4" i="18"/>
  <c r="I9"/>
  <c r="I10"/>
  <c r="V25" i="5"/>
  <c r="V29" s="1"/>
  <c r="V65" s="1"/>
  <c r="T29"/>
  <c r="T65" s="1"/>
  <c r="K26" i="18"/>
  <c r="K25"/>
  <c r="K20"/>
  <c r="T21" i="7"/>
  <c r="V24" i="5"/>
  <c r="U62" i="6"/>
  <c r="T64"/>
  <c r="Q23" i="5"/>
  <c r="P23"/>
  <c r="S23"/>
  <c r="K23"/>
  <c r="R23"/>
  <c r="L23"/>
  <c r="N23"/>
  <c r="M23"/>
  <c r="G63"/>
  <c r="I63"/>
  <c r="F63"/>
  <c r="H63"/>
  <c r="Q25"/>
  <c r="R25"/>
  <c r="S25"/>
  <c r="P25"/>
  <c r="O29"/>
  <c r="M29" s="1"/>
  <c r="H27" i="6"/>
  <c r="I27"/>
  <c r="F27"/>
  <c r="G27"/>
  <c r="H27" i="5"/>
  <c r="I27"/>
  <c r="F27"/>
  <c r="G27"/>
  <c r="R62"/>
  <c r="F62" i="6"/>
  <c r="G62"/>
  <c r="H62"/>
  <c r="I62"/>
  <c r="C33" i="26"/>
  <c r="C36" i="24"/>
  <c r="E25" i="4"/>
  <c r="E25" i="6"/>
  <c r="O25"/>
  <c r="L25" s="1"/>
  <c r="E25" i="5"/>
  <c r="J29" i="6"/>
  <c r="P20" i="5"/>
  <c r="R20"/>
  <c r="S20"/>
  <c r="Q20"/>
  <c r="O24"/>
  <c r="K20"/>
  <c r="G24"/>
  <c r="R21"/>
  <c r="Q21"/>
  <c r="P21"/>
  <c r="S21"/>
  <c r="I63" i="6"/>
  <c r="G63"/>
  <c r="H63"/>
  <c r="F63"/>
  <c r="U19" i="4"/>
  <c r="V24"/>
  <c r="J30" i="6"/>
  <c r="J66" s="1"/>
  <c r="Q22" i="5"/>
  <c r="P22"/>
  <c r="R22"/>
  <c r="S22"/>
  <c r="L22"/>
  <c r="L24" s="1"/>
  <c r="T48" i="7"/>
  <c r="T60" s="1"/>
  <c r="X26" i="6" s="1"/>
  <c r="V26" s="1"/>
  <c r="K9" i="18"/>
  <c r="K4"/>
  <c r="K10"/>
  <c r="E72" i="6"/>
  <c r="C23" i="24"/>
  <c r="N41" i="7"/>
  <c r="T29"/>
  <c r="T41" s="1"/>
  <c r="U24" i="5"/>
  <c r="W17"/>
  <c r="W24" s="1"/>
  <c r="R63"/>
  <c r="S63" s="1"/>
  <c r="R25" i="4"/>
  <c r="S25"/>
  <c r="P25"/>
  <c r="Q25"/>
  <c r="O29"/>
  <c r="M29" s="1"/>
  <c r="E24" i="24"/>
  <c r="F24"/>
  <c r="I24" i="5"/>
  <c r="X30" i="4"/>
  <c r="D33" i="26"/>
  <c r="D36" i="24"/>
  <c r="D36" i="27" s="1"/>
  <c r="I25" i="18"/>
  <c r="I20"/>
  <c r="I26"/>
  <c r="F35" i="26"/>
  <c r="U62" i="5"/>
  <c r="T64"/>
  <c r="E33" i="24"/>
  <c r="E33" i="27" s="1"/>
  <c r="E32" i="26"/>
  <c r="E20" i="24"/>
  <c r="N17" i="4" l="1"/>
  <c r="R17"/>
  <c r="P17"/>
  <c r="S17"/>
  <c r="Q17"/>
  <c r="L17"/>
  <c r="P24"/>
  <c r="S24"/>
  <c r="N24"/>
  <c r="L17" i="6"/>
  <c r="Q17"/>
  <c r="M17"/>
  <c r="M24" s="1"/>
  <c r="P17"/>
  <c r="P24" s="1"/>
  <c r="K17"/>
  <c r="K24" s="1"/>
  <c r="O24"/>
  <c r="S17"/>
  <c r="S24" s="1"/>
  <c r="N17"/>
  <c r="N24" s="1"/>
  <c r="R17"/>
  <c r="R24" s="1"/>
  <c r="P17" i="5"/>
  <c r="Q17"/>
  <c r="R17"/>
  <c r="S17"/>
  <c r="M17"/>
  <c r="K17"/>
  <c r="U17" i="6"/>
  <c r="V24"/>
  <c r="M24" i="5"/>
  <c r="Q24" i="6"/>
  <c r="L24"/>
  <c r="K25" i="5"/>
  <c r="N27" i="4"/>
  <c r="K27"/>
  <c r="S27"/>
  <c r="M25" i="5"/>
  <c r="N25"/>
  <c r="Q24" i="4"/>
  <c r="R24"/>
  <c r="F24" i="27"/>
  <c r="D23"/>
  <c r="E16"/>
  <c r="B22"/>
  <c r="F17"/>
  <c r="F16"/>
  <c r="L64" i="6"/>
  <c r="M27"/>
  <c r="L24" i="4"/>
  <c r="K24"/>
  <c r="E20" i="27"/>
  <c r="E24"/>
  <c r="D20"/>
  <c r="B20"/>
  <c r="B23"/>
  <c r="T30" i="5"/>
  <c r="T66" s="1"/>
  <c r="T48" i="1"/>
  <c r="T60" s="1"/>
  <c r="S62" i="5"/>
  <c r="T28" i="1"/>
  <c r="T40" s="1"/>
  <c r="N64" i="6"/>
  <c r="Q27"/>
  <c r="N27"/>
  <c r="L62" i="5"/>
  <c r="O26"/>
  <c r="K26" s="1"/>
  <c r="O64"/>
  <c r="L64" s="1"/>
  <c r="E35" i="26"/>
  <c r="M64" i="6"/>
  <c r="S27"/>
  <c r="K62" i="5"/>
  <c r="V26"/>
  <c r="U26" s="1"/>
  <c r="W26" s="1"/>
  <c r="Q62"/>
  <c r="P62"/>
  <c r="R27" i="6"/>
  <c r="M62" i="5"/>
  <c r="E36" i="24"/>
  <c r="E36" i="27" s="1"/>
  <c r="C36"/>
  <c r="T50" i="7"/>
  <c r="T62" s="1"/>
  <c r="E23" i="24"/>
  <c r="C23" i="27"/>
  <c r="N24" i="5"/>
  <c r="F33" i="26"/>
  <c r="F33" i="27"/>
  <c r="C20"/>
  <c r="E30" i="6"/>
  <c r="E66" s="1"/>
  <c r="F66" s="1"/>
  <c r="O21" i="2"/>
  <c r="T21" s="1"/>
  <c r="T9"/>
  <c r="O20" i="1"/>
  <c r="T20" s="1"/>
  <c r="T8"/>
  <c r="T18"/>
  <c r="J26" i="4" s="1"/>
  <c r="G26" s="1"/>
  <c r="U29" i="6"/>
  <c r="U65" s="1"/>
  <c r="W25"/>
  <c r="W29" s="1"/>
  <c r="W65" s="1"/>
  <c r="V26" i="4"/>
  <c r="U26" s="1"/>
  <c r="W26" s="1"/>
  <c r="K25" i="6"/>
  <c r="K30" s="1"/>
  <c r="M25"/>
  <c r="N25"/>
  <c r="P12" i="26"/>
  <c r="C21" i="24"/>
  <c r="P24" i="5"/>
  <c r="N29"/>
  <c r="L27"/>
  <c r="M26" i="6"/>
  <c r="E55" i="26"/>
  <c r="E55" i="27"/>
  <c r="P63" i="5"/>
  <c r="Q63" s="1"/>
  <c r="B9" i="26"/>
  <c r="B9" i="27"/>
  <c r="D9" i="26"/>
  <c r="D9" i="27"/>
  <c r="M27" i="5"/>
  <c r="E30"/>
  <c r="E66" s="1"/>
  <c r="I66" s="1"/>
  <c r="L26" i="6"/>
  <c r="L30" s="1"/>
  <c r="N26"/>
  <c r="N30" s="1"/>
  <c r="D36" i="26"/>
  <c r="U26" i="6"/>
  <c r="V30"/>
  <c r="V66" s="1"/>
  <c r="W19" i="4"/>
  <c r="W24" s="1"/>
  <c r="U24"/>
  <c r="U30" s="1"/>
  <c r="Q24" i="5"/>
  <c r="I25" i="6"/>
  <c r="G25"/>
  <c r="H25"/>
  <c r="F25"/>
  <c r="P29" i="5"/>
  <c r="R29"/>
  <c r="Q29"/>
  <c r="S29"/>
  <c r="O65"/>
  <c r="M65" s="1"/>
  <c r="V62" i="6"/>
  <c r="U64"/>
  <c r="Q27" i="5"/>
  <c r="P27"/>
  <c r="S27"/>
  <c r="R27"/>
  <c r="K27"/>
  <c r="I26" i="4"/>
  <c r="K29"/>
  <c r="F32" i="26"/>
  <c r="F20" i="24"/>
  <c r="S24" i="5"/>
  <c r="E29"/>
  <c r="E29" i="6"/>
  <c r="J65"/>
  <c r="E29" i="4"/>
  <c r="F25"/>
  <c r="G25"/>
  <c r="H25"/>
  <c r="I25"/>
  <c r="E30"/>
  <c r="E77" s="1"/>
  <c r="D78" s="1"/>
  <c r="P64" i="5"/>
  <c r="Q64"/>
  <c r="S64"/>
  <c r="R64"/>
  <c r="V30"/>
  <c r="V66" s="1"/>
  <c r="H26"/>
  <c r="I26"/>
  <c r="F26"/>
  <c r="G26"/>
  <c r="K64"/>
  <c r="E33" i="26"/>
  <c r="V62" i="5"/>
  <c r="U64"/>
  <c r="C22" i="24"/>
  <c r="O63" i="4"/>
  <c r="Q29"/>
  <c r="R29"/>
  <c r="P29"/>
  <c r="S29"/>
  <c r="K24" i="5"/>
  <c r="R24"/>
  <c r="G25"/>
  <c r="I25"/>
  <c r="F25"/>
  <c r="H25"/>
  <c r="Q25" i="6"/>
  <c r="S25"/>
  <c r="P25"/>
  <c r="R25"/>
  <c r="O29"/>
  <c r="M29" s="1"/>
  <c r="C36" i="26"/>
  <c r="F34"/>
  <c r="K29" i="5"/>
  <c r="L29"/>
  <c r="P26" i="6"/>
  <c r="R26"/>
  <c r="Q26"/>
  <c r="S26"/>
  <c r="H26"/>
  <c r="I26"/>
  <c r="F26"/>
  <c r="G26"/>
  <c r="N64" i="5"/>
  <c r="L29" i="4"/>
  <c r="X30" i="6"/>
  <c r="X66" s="1"/>
  <c r="P64"/>
  <c r="S64"/>
  <c r="R64"/>
  <c r="Q64"/>
  <c r="I66"/>
  <c r="H66"/>
  <c r="U25" i="5"/>
  <c r="E34" i="26"/>
  <c r="D22" i="24"/>
  <c r="F23"/>
  <c r="M64" i="5"/>
  <c r="N29" i="4"/>
  <c r="O30" i="6"/>
  <c r="O66" s="1"/>
  <c r="L66" s="1"/>
  <c r="F36" i="24"/>
  <c r="F36" i="27" s="1"/>
  <c r="W17" i="6" l="1"/>
  <c r="W24" s="1"/>
  <c r="U24"/>
  <c r="R26" i="5"/>
  <c r="R30" s="1"/>
  <c r="W30" i="4"/>
  <c r="G66" i="6"/>
  <c r="H26" i="4"/>
  <c r="D22" i="27"/>
  <c r="E23"/>
  <c r="F23"/>
  <c r="C22"/>
  <c r="F20"/>
  <c r="C21"/>
  <c r="D21" i="24"/>
  <c r="O30" i="5"/>
  <c r="O66" s="1"/>
  <c r="D31" i="24"/>
  <c r="D31" i="27" s="1"/>
  <c r="S26" i="5"/>
  <c r="S30" s="1"/>
  <c r="F26" i="4"/>
  <c r="F30" s="1"/>
  <c r="H66" i="5"/>
  <c r="M26"/>
  <c r="M30" s="1"/>
  <c r="L26"/>
  <c r="L30" s="1"/>
  <c r="P26"/>
  <c r="P30" s="1"/>
  <c r="E36" i="26"/>
  <c r="Q26" i="5"/>
  <c r="Q30" s="1"/>
  <c r="I30" i="4"/>
  <c r="E21" i="24"/>
  <c r="N26" i="5"/>
  <c r="N30" s="1"/>
  <c r="V30" i="4"/>
  <c r="K65" i="5"/>
  <c r="C31" i="24"/>
  <c r="C31" i="27" s="1"/>
  <c r="J30" i="4"/>
  <c r="O26"/>
  <c r="L26" s="1"/>
  <c r="L30" s="1"/>
  <c r="B31" i="24"/>
  <c r="B31" i="27" s="1"/>
  <c r="C19" i="24"/>
  <c r="M30" i="6"/>
  <c r="G66" i="5"/>
  <c r="L66"/>
  <c r="Q12" i="26"/>
  <c r="F30" i="5"/>
  <c r="S30" i="6"/>
  <c r="H30" i="5"/>
  <c r="K29" i="6"/>
  <c r="F66" i="5"/>
  <c r="Q11" i="26"/>
  <c r="K30" i="5"/>
  <c r="I30"/>
  <c r="N29" i="6"/>
  <c r="L65" i="5"/>
  <c r="R30" i="6"/>
  <c r="G30" i="5"/>
  <c r="G30" i="4"/>
  <c r="D31" i="26"/>
  <c r="K66" i="6"/>
  <c r="F36" i="26"/>
  <c r="F22" i="24"/>
  <c r="W25" i="5"/>
  <c r="U29"/>
  <c r="U65" s="1"/>
  <c r="P30" i="6"/>
  <c r="H30" i="4"/>
  <c r="N65" i="5"/>
  <c r="F30" i="6"/>
  <c r="I30"/>
  <c r="R66"/>
  <c r="P66"/>
  <c r="S66"/>
  <c r="Q66"/>
  <c r="N66"/>
  <c r="H29"/>
  <c r="F29"/>
  <c r="G29"/>
  <c r="E65"/>
  <c r="I29"/>
  <c r="W26"/>
  <c r="W30" s="1"/>
  <c r="W66" s="1"/>
  <c r="U30"/>
  <c r="U66" s="1"/>
  <c r="S29"/>
  <c r="P29"/>
  <c r="R29"/>
  <c r="O65"/>
  <c r="M65" s="1"/>
  <c r="Q29"/>
  <c r="Q30"/>
  <c r="M66"/>
  <c r="U30" i="5"/>
  <c r="U66" s="1"/>
  <c r="V64"/>
  <c r="W62"/>
  <c r="L29" i="6"/>
  <c r="E65" i="5"/>
  <c r="H29"/>
  <c r="F29"/>
  <c r="I29"/>
  <c r="G29"/>
  <c r="W62" i="6"/>
  <c r="V64"/>
  <c r="H30"/>
  <c r="E22" i="24"/>
  <c r="F29" i="4"/>
  <c r="E63"/>
  <c r="G29"/>
  <c r="I29"/>
  <c r="H29"/>
  <c r="R65" i="5"/>
  <c r="P65"/>
  <c r="S65"/>
  <c r="Q65"/>
  <c r="G30" i="6"/>
  <c r="F21" i="24" l="1"/>
  <c r="B31" i="26"/>
  <c r="F31" i="24"/>
  <c r="F31" i="27" s="1"/>
  <c r="E31" i="24"/>
  <c r="E31" i="27" s="1"/>
  <c r="F22"/>
  <c r="C19"/>
  <c r="E21"/>
  <c r="F21"/>
  <c r="E22"/>
  <c r="D21"/>
  <c r="P66" i="5"/>
  <c r="S66"/>
  <c r="Q66"/>
  <c r="M66"/>
  <c r="R66"/>
  <c r="K66"/>
  <c r="D19" i="24"/>
  <c r="N66" i="5"/>
  <c r="N26" i="4"/>
  <c r="N30" s="1"/>
  <c r="P26"/>
  <c r="P30" s="1"/>
  <c r="O30"/>
  <c r="M26"/>
  <c r="M30" s="1"/>
  <c r="K26"/>
  <c r="K30" s="1"/>
  <c r="R26"/>
  <c r="R30" s="1"/>
  <c r="S26"/>
  <c r="Q26"/>
  <c r="Q30" s="1"/>
  <c r="C31" i="26"/>
  <c r="K65" i="6"/>
  <c r="L65"/>
  <c r="X62"/>
  <c r="X64" s="1"/>
  <c r="W64"/>
  <c r="X62" i="5"/>
  <c r="X64" s="1"/>
  <c r="W64"/>
  <c r="C15" i="24"/>
  <c r="F65" i="5"/>
  <c r="H65"/>
  <c r="G65"/>
  <c r="I65"/>
  <c r="R65" i="6"/>
  <c r="P65"/>
  <c r="S65"/>
  <c r="Q65"/>
  <c r="I65"/>
  <c r="F65"/>
  <c r="G65"/>
  <c r="H65"/>
  <c r="N65"/>
  <c r="W29" i="5"/>
  <c r="W65" s="1"/>
  <c r="W30"/>
  <c r="W66" s="1"/>
  <c r="F31" i="26" l="1"/>
  <c r="E31"/>
  <c r="C15" i="27"/>
  <c r="D19"/>
  <c r="D15" i="24"/>
  <c r="S30" i="4"/>
  <c r="B19" i="24"/>
  <c r="C25"/>
  <c r="B19" i="27" l="1"/>
  <c r="D15"/>
  <c r="D25" i="24"/>
  <c r="C25" i="27"/>
  <c r="B15" i="24"/>
  <c r="F19"/>
  <c r="E19"/>
  <c r="F19" i="27" l="1"/>
  <c r="E19"/>
  <c r="D25"/>
  <c r="B25" i="24"/>
  <c r="F15"/>
  <c r="E15"/>
  <c r="F15" i="27" l="1"/>
  <c r="E15"/>
  <c r="B25"/>
  <c r="D27" i="24"/>
  <c r="C27"/>
  <c r="F25"/>
  <c r="E25"/>
  <c r="E25" i="27" l="1"/>
  <c r="F25"/>
  <c r="D28" i="24"/>
  <c r="D27" i="26"/>
  <c r="D27" i="27"/>
  <c r="C27" i="26"/>
  <c r="C27" i="27"/>
  <c r="C28" i="24"/>
  <c r="F64" i="6"/>
  <c r="G64"/>
  <c r="H64"/>
  <c r="I64"/>
  <c r="C28" i="26" l="1"/>
  <c r="C28" i="27"/>
  <c r="D28" i="26"/>
  <c r="D28" i="27"/>
  <c r="P11" i="26"/>
</calcChain>
</file>

<file path=xl/comments1.xml><?xml version="1.0" encoding="utf-8"?>
<comments xmlns="http://schemas.openxmlformats.org/spreadsheetml/2006/main">
  <authors>
    <author>Mari Jüssi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Mari Jüssi:
2020 EE biometaani tarbimine (50 ktoe)  eeldab:
Ca – 350 gaasibussi
 35 000 sõiduautot
(Vt ka VTT 2012, lk 34)    http://www.transeco.fi/files/673/TransEco_strategiahanke_Suomi_2020_Tieliikenteen_uusiutuva_energia_ja_kasvihuonekaasupaastojen_vahentaminen_vuoteen_2020_mentaessa.pdf
Võib olla ebareaalne
</t>
        </r>
      </text>
    </comment>
    <comment ref="AD1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2020 EE biometaani tarbimine (50 ktoe)  eeldab:
Ca – 350 gaasibussi
 35 000 sõiduautot
(Vt ka VTT 2012, lk 34)    http://www.transeco.fi/files/673/TransEco_strategiahanke_Suomi_2020_Tieliikenteen_uusiutuva_energia_ja_kasvihuonekaasupaastojen_vahentaminen_vuoteen_2020_mentaessa.pdf
Võib olla ebareaalne
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siia reale tulevad alternatiivsete stsen meetmetega seotud maksutulud
</t>
        </r>
      </text>
    </comment>
    <comment ref="B6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2015-2020 on 0, sest hakkab sisse tooma alles mõne aasta pärast
</t>
        </r>
      </text>
    </comment>
  </commentList>
</comments>
</file>

<file path=xl/comments10.xml><?xml version="1.0" encoding="utf-8"?>
<comments xmlns="http://schemas.openxmlformats.org/spreadsheetml/2006/main">
  <authors>
    <author>Mari Jüssi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30% kasvu võrreldes praegusega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Jalgrattakasutuse kahekordistumine võrreldes praegusega
</t>
        </r>
      </text>
    </comment>
  </commentList>
</comments>
</file>

<file path=xl/comments2.xml><?xml version="1.0" encoding="utf-8"?>
<comments xmlns="http://schemas.openxmlformats.org/spreadsheetml/2006/main">
  <authors>
    <author>Mari Jüssi</author>
  </authors>
  <commentList>
    <comment ref="P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W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hinnanguline süsteemi maksumus 20% maksutuludest
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R1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120 oleks proportsioonis soome vastava maksuga kütuseaktsiis on praegu 1:6
Kuna meil aktsiis suhteliselt kõrge, panin tagasihoidliku eesti arvutuse ja soome analoogia keskmise
</t>
        </r>
      </text>
    </comment>
    <comment ref="R2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4 korda suurem parkimistulu linnadel ja asutustel
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Kapsch sisemine+välisring kapitali ja tegevuskulud kokku
</t>
        </r>
      </text>
    </comment>
    <comment ref="S2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ca 15% suurem kütuseakstiisi määr, suurem maksutulu võrreldes RR prognosiga
  </t>
        </r>
      </text>
    </comment>
    <comment ref="P2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Q2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P4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Q4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O4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ainult lisadot, pole arvestatud lisainvesteeringuid
</t>
        </r>
      </text>
    </comment>
    <comment ref="O4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varasemas olid arvutusvead, oluliselt muutunud
</t>
        </r>
      </text>
    </comment>
    <comment ref="O4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Hannes Lutsu hinnang, ajatatuna 40 a peale
</t>
        </r>
      </text>
    </comment>
    <comment ref="P5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Q5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O5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Võimaldab ca 100-
200 ha elamu või ärimaa soetamist hea ühistranspordiga teeninduse aladel</t>
        </r>
      </text>
    </comment>
    <comment ref="R5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4 korda suurem parkimistulu linnadel ja asutustel
</t>
        </r>
      </text>
    </comment>
    <comment ref="W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X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AC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AD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</commentList>
</comments>
</file>

<file path=xl/comments3.xml><?xml version="1.0" encoding="utf-8"?>
<comments xmlns="http://schemas.openxmlformats.org/spreadsheetml/2006/main">
  <authors>
    <author>Mari Jüssi</author>
  </authors>
  <commentList>
    <comment ref="O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P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X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hinnanguline süsteemi maksumus 20% maksutuludest
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Q1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120 oleks proportsioonis soome vastava maksuga kütuseaktsiis on praegu 1:6
Kuna meil aktsiis suhteliselt kõrge, panin tagasihoidliku eesti arvutuse ja soome analoogia keskmise
</t>
        </r>
      </text>
    </comment>
    <comment ref="Q2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4 korda suurem parkimistulu linnadel ja asutustel
</t>
        </r>
      </text>
    </comment>
    <comment ref="R2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Kapsch sisemine+välisring kapitali ja tegevuskulud kokku
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kogu kergliikluse ühiskondlik tulu 182 MEUR jagatud 10
 meetme peale
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ca 15% suurem kütuseakstiisi määr, suurem maksutulu võrreldes RR prognosiga
  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P30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O4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P4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N4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ainult lisadot, pole arvestatud lisainvesteeringuid
</t>
        </r>
      </text>
    </comment>
    <comment ref="N4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varasemas olid arvutusvead, oluliselt muutunud
</t>
        </r>
      </text>
    </comment>
    <comment ref="N4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Hannes Lutsu hinnang, ajatatuna 40 a peale
</t>
        </r>
      </text>
    </comment>
    <comment ref="O5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P5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N54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Võimaldab ca 100-
200 ha elamu või ärimaa soetamist hea ühistranspordiga teeninduse aladel</t>
        </r>
      </text>
    </comment>
    <comment ref="N5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valem uuendamata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Seda oli topelt
</t>
        </r>
      </text>
    </comment>
    <comment ref="Q5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4 korda suurem parkimistulu linnadel ja asutustel
</t>
        </r>
      </text>
    </comment>
    <comment ref="X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Y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  <comment ref="AD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2012 hindades, arvestamata nafta või aktsiisimäära hinnatõusuga</t>
        </r>
      </text>
    </comment>
    <comment ref="AE5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2013 aktsiisimäärade järgi
</t>
        </r>
      </text>
    </comment>
  </commentList>
</comments>
</file>

<file path=xl/comments4.xml><?xml version="1.0" encoding="utf-8"?>
<comments xmlns="http://schemas.openxmlformats.org/spreadsheetml/2006/main">
  <authors>
    <author>Marek Rannala</author>
  </authors>
  <commentList>
    <comment ref="E7" authorId="0">
      <text>
        <r>
          <rPr>
            <b/>
            <sz val="9"/>
            <color indexed="81"/>
            <rFont val="Calibri"/>
            <family val="2"/>
          </rPr>
          <t xml:space="preserve">Marek Rannala: </t>
        </r>
        <r>
          <rPr>
            <sz val="9"/>
            <color indexed="81"/>
            <rFont val="Calibri"/>
            <family val="2"/>
          </rPr>
          <t>teehoiukava</t>
        </r>
      </text>
    </comment>
    <comment ref="F7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 Prognoos</t>
        </r>
      </text>
    </comment>
    <comment ref="E8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THK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 tabel 9</t>
        </r>
      </text>
    </comment>
    <comment ref="E14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(autode arv*osakaal/koguarvust)*auto maksumus/taandmine miljoniks
Autode arv - MNT + stat
Arvu kasv - proportsionaalne Stream kasvuga
Osakaalud - stat
Auto maksumus - uus maksuameti eeldusel passati baasversioon</t>
        </r>
      </text>
    </comment>
    <comment ref="E20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THK</t>
        </r>
      </text>
    </comment>
    <comment ref="E21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</t>
        </r>
      </text>
    </comment>
    <comment ref="E33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</t>
        </r>
      </text>
    </comment>
  </commentList>
</comments>
</file>

<file path=xl/comments5.xml><?xml version="1.0" encoding="utf-8"?>
<comments xmlns="http://schemas.openxmlformats.org/spreadsheetml/2006/main">
  <authors>
    <author>Marek Rannala</author>
  </authors>
  <commentList>
    <comment ref="F20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2015 ja 2025 keskmine, muidu oli imelikult väike number</t>
        </r>
      </text>
    </comment>
    <comment ref="E32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</t>
        </r>
      </text>
    </comment>
    <comment ref="E33" authorId="0">
      <text>
        <r>
          <rPr>
            <b/>
            <sz val="9"/>
            <color indexed="81"/>
            <rFont val="Calibri"/>
            <family val="2"/>
          </rPr>
          <t>Marek Rannala:</t>
        </r>
        <r>
          <rPr>
            <sz val="9"/>
            <color indexed="81"/>
            <rFont val="Calibri"/>
            <family val="2"/>
          </rPr>
          <t xml:space="preserve">
TAK</t>
        </r>
      </text>
    </comment>
  </commentList>
</comments>
</file>

<file path=xl/comments6.xml><?xml version="1.0" encoding="utf-8"?>
<comments xmlns="http://schemas.openxmlformats.org/spreadsheetml/2006/main">
  <authors>
    <author>Mari Jüssi</author>
  </authors>
  <commentList>
    <comment ref="M2" authorId="0">
      <text>
        <r>
          <rPr>
            <b/>
            <sz val="9"/>
            <color indexed="81"/>
            <rFont val="Tahoma"/>
            <charset val="1"/>
          </rPr>
          <t>Mari Jüssi:</t>
        </r>
        <r>
          <rPr>
            <sz val="9"/>
            <color indexed="81"/>
            <rFont val="Tahoma"/>
            <charset val="1"/>
          </rPr>
          <t xml:space="preserve">
27.8.14 El hind muudetud vastavalt lõpptarbija hinnale 2013 hindades eeldusel, et nominaalhinnad kasvavad 3% aastas, varem oli tootmise hind.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3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</commentList>
</comments>
</file>

<file path=xl/comments7.xml><?xml version="1.0" encoding="utf-8"?>
<comments xmlns="http://schemas.openxmlformats.org/spreadsheetml/2006/main">
  <authors>
    <author>Mari Jüssi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4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5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</commentList>
</comments>
</file>

<file path=xl/comments8.xml><?xml version="1.0" encoding="utf-8"?>
<comments xmlns="http://schemas.openxmlformats.org/spreadsheetml/2006/main">
  <authors>
    <author>Mari Jüssi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0,5% osakaal tähendab ca 2000 gaasiautot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3,5% bussiliiklusest biogaasibussidel tähendab ca 51 gaasibussi ehk koos maagaasiga - ca 100 bussi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28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  <comment ref="I3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kui 0,7 TJ/a veoki kohta 70 000 km läbisõidu puhul, siis 1,5 % gaasisõidueid 242 TJ - ca 345 gaasiveokit</t>
        </r>
      </text>
    </comment>
    <comment ref="L4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Mari Jüssi: 25% sõitudest ettevõtetega seotud
. Ilma km
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10% maailmaturu hinnast
</t>
        </r>
      </text>
    </comment>
  </commentList>
</comments>
</file>

<file path=xl/comments9.xml><?xml version="1.0" encoding="utf-8"?>
<comments xmlns="http://schemas.openxmlformats.org/spreadsheetml/2006/main">
  <authors>
    <author>Mari Jüssi</author>
  </authors>
  <commentList>
    <comment ref="G3" authorId="0">
      <text>
        <r>
          <rPr>
            <b/>
            <sz val="9"/>
            <color rgb="FF000000"/>
            <rFont val="Tahoma"/>
            <family val="2"/>
            <charset val="186"/>
          </rPr>
          <t>Mari Jüssi:</t>
        </r>
        <r>
          <rPr>
            <sz val="9"/>
            <color rgb="FF000000"/>
            <rFont val="Tahoma"/>
            <family val="2"/>
            <charset val="186"/>
          </rPr>
          <t xml:space="preserve">
20122 ja 2020 keskmine
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Stream ja TAK tööde põhjalt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Biokütuste töörühm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Ahto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Ahto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Eesti Liberal scenario hind
</t>
        </r>
      </text>
    </comment>
    <comment ref="G15" authorId="0">
      <text>
        <r>
          <rPr>
            <b/>
            <sz val="9"/>
            <color rgb="FF000000"/>
            <rFont val="Tahoma"/>
            <family val="2"/>
            <charset val="186"/>
          </rPr>
          <t>Mari Jüssi:</t>
        </r>
        <r>
          <rPr>
            <sz val="9"/>
            <color rgb="FF000000"/>
            <rFont val="Tahoma"/>
            <family val="2"/>
            <charset val="186"/>
          </rPr>
          <t xml:space="preserve">
20122 ja 2020 keskmine
</t>
        </r>
      </text>
    </comment>
    <comment ref="H15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eeldades, et keskmine ei ole madalam kui praegu, aga muutub ETD järgi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keskmine etd järgi on väiksem kui praegu - korrutan läbi, et tuleks sama keskmine
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186"/>
          </rPr>
          <t>Mari Jüssi:</t>
        </r>
        <r>
          <rPr>
            <sz val="9"/>
            <color indexed="81"/>
            <rFont val="Tahoma"/>
            <family val="2"/>
            <charset val="186"/>
          </rPr>
          <t xml:space="preserve">
20 eur tonn
</t>
        </r>
      </text>
    </comment>
  </commentList>
</comments>
</file>

<file path=xl/sharedStrings.xml><?xml version="1.0" encoding="utf-8"?>
<sst xmlns="http://schemas.openxmlformats.org/spreadsheetml/2006/main" count="2263" uniqueCount="558">
  <si>
    <t>Kütuste hind, 1000 €,maksulaekumine 2020</t>
  </si>
  <si>
    <t>Kütuste tarbimine, TJ/a</t>
  </si>
  <si>
    <t>BAU 2020</t>
  </si>
  <si>
    <t>1000 EUR</t>
  </si>
  <si>
    <t>Elekter</t>
  </si>
  <si>
    <t>Bensiin</t>
  </si>
  <si>
    <t>Diisel</t>
  </si>
  <si>
    <t>CNG</t>
  </si>
  <si>
    <t>Etanool</t>
  </si>
  <si>
    <t>Biodiisel</t>
  </si>
  <si>
    <t>Biometaan</t>
  </si>
  <si>
    <t xml:space="preserve">EL </t>
  </si>
  <si>
    <t>B</t>
  </si>
  <si>
    <t>D</t>
  </si>
  <si>
    <t>E</t>
  </si>
  <si>
    <t>BD</t>
  </si>
  <si>
    <t>BCNG</t>
  </si>
  <si>
    <t>Total</t>
  </si>
  <si>
    <t>ET</t>
  </si>
  <si>
    <t>Kokku</t>
  </si>
  <si>
    <t>Persons</t>
  </si>
  <si>
    <t>TJ</t>
  </si>
  <si>
    <t>%</t>
  </si>
  <si>
    <t>Reisijad</t>
  </si>
  <si>
    <t>Kütus</t>
  </si>
  <si>
    <t>Car</t>
  </si>
  <si>
    <t>Aktsiis</t>
  </si>
  <si>
    <t>Bus</t>
  </si>
  <si>
    <t>Käibemaks</t>
  </si>
  <si>
    <t>Train</t>
  </si>
  <si>
    <t>Juurdehindlus</t>
  </si>
  <si>
    <t>Aviation and ferries</t>
  </si>
  <si>
    <t>Hind kokku</t>
  </si>
  <si>
    <t>Kaubad</t>
  </si>
  <si>
    <t>Goods</t>
  </si>
  <si>
    <t>Trucks and cargo vans</t>
  </si>
  <si>
    <t>Train*</t>
  </si>
  <si>
    <t>Ship*</t>
  </si>
  <si>
    <t>Air transport</t>
  </si>
  <si>
    <t>2020 BAU</t>
  </si>
  <si>
    <t>Total fuel cons. incl. fish and agri</t>
  </si>
  <si>
    <t>Müüja marginaal</t>
  </si>
  <si>
    <t>EE 2020</t>
  </si>
  <si>
    <t>EE2020</t>
  </si>
  <si>
    <t>Hind tarbijatele</t>
  </si>
  <si>
    <t>Hind ettevõtjatele</t>
  </si>
  <si>
    <t>2020 EE</t>
  </si>
  <si>
    <t>VS_TAK 2020</t>
  </si>
  <si>
    <t>VS_2020</t>
  </si>
  <si>
    <t>2020 VS_TAK</t>
  </si>
  <si>
    <t>Kütuste hind, maksulaekumine 2030</t>
  </si>
  <si>
    <t>2030 BAU</t>
  </si>
  <si>
    <t>EE 2030</t>
  </si>
  <si>
    <t>EE2030</t>
  </si>
  <si>
    <t>VS_2030</t>
  </si>
  <si>
    <t>Ühik</t>
  </si>
  <si>
    <t>Transpordi energiatarbimine</t>
  </si>
  <si>
    <t>Kütuse komponent</t>
  </si>
  <si>
    <t>Juurdehindlus (hulgi- ja jaem., transport jm)</t>
  </si>
  <si>
    <t>Investeeringud</t>
  </si>
  <si>
    <t>Maanteed ja tänavad</t>
  </si>
  <si>
    <t>Raudteed</t>
  </si>
  <si>
    <t>Uute sõidukite import omaturu tarbeks (eraisikud)</t>
  </si>
  <si>
    <t>Kasutatud sõidukite import omaturu tarbeks (eraisikud)</t>
  </si>
  <si>
    <t>Auto-, tee-, ummiku- jms maksud/tasud</t>
  </si>
  <si>
    <t>Dotatsioon</t>
  </si>
  <si>
    <t>Raudtee</t>
  </si>
  <si>
    <t>CO2 emissioon</t>
  </si>
  <si>
    <t>Surumaagaas, CNG</t>
  </si>
  <si>
    <t xml:space="preserve">Transport BAU </t>
  </si>
  <si>
    <t>Transpordi energiatarbisega seotud kulud ja maksud</t>
  </si>
  <si>
    <t>Käibemaks kütustelt</t>
  </si>
  <si>
    <t xml:space="preserve"> diisel bensiin</t>
  </si>
  <si>
    <t>Transport VS_TAK</t>
  </si>
  <si>
    <t>Transport, Teadmispõhine EE</t>
  </si>
  <si>
    <t>BAU 2050</t>
  </si>
  <si>
    <t>EE 2050</t>
  </si>
  <si>
    <t>Distribution of transport work</t>
  </si>
  <si>
    <t>Electricity</t>
  </si>
  <si>
    <t>Gasoline</t>
  </si>
  <si>
    <t>Diesel</t>
  </si>
  <si>
    <t>Natural gas</t>
  </si>
  <si>
    <t>Ethanol</t>
  </si>
  <si>
    <t>Biodiesel</t>
  </si>
  <si>
    <t>Biogas</t>
  </si>
  <si>
    <t>VSTAK2050</t>
  </si>
  <si>
    <t>ktoe</t>
  </si>
  <si>
    <t>Maagaas</t>
  </si>
  <si>
    <t>Kütuse komponent, 2012 eur</t>
  </si>
  <si>
    <t>Kütuste hind, maksulaekumine 2050</t>
  </si>
  <si>
    <t>2050 BAU</t>
  </si>
  <si>
    <t>2050EE</t>
  </si>
  <si>
    <t>VS_TAK 2050</t>
  </si>
  <si>
    <t>2050 VS_TAK</t>
  </si>
  <si>
    <r>
      <t xml:space="preserve">Aktsiis kütustelt - inflatsiooniga </t>
    </r>
    <r>
      <rPr>
        <sz val="10"/>
        <color rgb="FFC00000"/>
        <rFont val="Calibri"/>
        <family val="2"/>
        <charset val="186"/>
        <scheme val="minor"/>
      </rPr>
      <t>ei</t>
    </r>
    <r>
      <rPr>
        <sz val="10"/>
        <color theme="1"/>
        <rFont val="Calibri"/>
        <family val="2"/>
        <charset val="186"/>
        <scheme val="minor"/>
      </rPr>
      <t xml:space="preserve"> korrigeeri, sest maksud tõusevad mujal</t>
    </r>
  </si>
  <si>
    <t>Aktsiis ja transpordimaksud kokku</t>
  </si>
  <si>
    <t>Võrdlus BAU aktsiisi ja maksutuluga</t>
  </si>
  <si>
    <t>Stsenaariumi tegevuste inv ja kulud kokku</t>
  </si>
  <si>
    <t>mill. pkm</t>
  </si>
  <si>
    <t>mill. Vehicle km</t>
  </si>
  <si>
    <t>sõidukite keskmised</t>
  </si>
  <si>
    <t>Sõidukeid</t>
  </si>
  <si>
    <t>Base</t>
  </si>
  <si>
    <t>BAU20</t>
  </si>
  <si>
    <t>EE20</t>
  </si>
  <si>
    <t>VS_TAK</t>
  </si>
  <si>
    <t>TS32: SÕIDUKID, 31. DETSEMBER --- Aasta ning Näitaja</t>
  </si>
  <si>
    <t xml:space="preserve"> </t>
  </si>
  <si>
    <t>Sõiduautod</t>
  </si>
  <si>
    <t>Bussid</t>
  </si>
  <si>
    <t>Veoautod</t>
  </si>
  <si>
    <t>552.7</t>
  </si>
  <si>
    <t>81.2</t>
  </si>
  <si>
    <t>574.0</t>
  </si>
  <si>
    <t>84.3</t>
  </si>
  <si>
    <t>Bike etc.</t>
  </si>
  <si>
    <t>602.1</t>
  </si>
  <si>
    <t>88.0</t>
  </si>
  <si>
    <t>Muutus, %</t>
  </si>
  <si>
    <t xml:space="preserve">Märkus: </t>
  </si>
  <si>
    <t>mill. tkm</t>
  </si>
  <si>
    <t>mio.tonnes km</t>
  </si>
  <si>
    <t>BAU30</t>
  </si>
  <si>
    <t>EE30</t>
  </si>
  <si>
    <t>VS_TAK 2030</t>
  </si>
  <si>
    <t>BAU</t>
  </si>
  <si>
    <t>BAU50</t>
  </si>
  <si>
    <t>VS2050</t>
  </si>
  <si>
    <t>VS_2050</t>
  </si>
  <si>
    <t>EE50</t>
  </si>
  <si>
    <t>VS 2050</t>
  </si>
  <si>
    <t>Lisanduv maksutulu</t>
  </si>
  <si>
    <t>tonn</t>
  </si>
  <si>
    <t>M€</t>
  </si>
  <si>
    <t>Investeering on siin tabelis uue infra ehitus või põhjalik rekonstrueerimine</t>
  </si>
  <si>
    <t>Riik KOV teedele</t>
  </si>
  <si>
    <t>Proportsionaalne sõiduautode läbisõidu kasvuga, investeeringud tingib läbilaskvuse tõstmise vajadus</t>
  </si>
  <si>
    <t>Riik maanteedele</t>
  </si>
  <si>
    <t>KOV teedele</t>
  </si>
  <si>
    <t>Rail Baltic</t>
  </si>
  <si>
    <t>Ühekordne investeering 1040, jaotatud 40 aasta peale</t>
  </si>
  <si>
    <t>Muud investeeringud</t>
  </si>
  <si>
    <t>Uute sõidukite import omaturu tarbeks (ettevõtted)</t>
  </si>
  <si>
    <t>Kasutatud sõidukite import omaturu tarbeks (ettevõtted)</t>
  </si>
  <si>
    <t>Hooldus ja remont</t>
  </si>
  <si>
    <t>Proportsionaalne veoautode tonnkilomeetrite kasvuga, normteljed määravad katendi eluea</t>
  </si>
  <si>
    <t>KOV</t>
  </si>
  <si>
    <t>Proportsionaalne sõiduautode läbisõidu kasvuga, suurema läbisõiduga kaasneb suurem remondi ja hoolduse vajadus</t>
  </si>
  <si>
    <t>Proportsionaalne kaubavedude kasvuga, rohkem veotonne tingib suurema hooldusvajaduse</t>
  </si>
  <si>
    <t>Hooldus</t>
  </si>
  <si>
    <t>Rekonstrueerimine</t>
  </si>
  <si>
    <t>Proportsionaalne reisijateveo muutusega jättes kasvust välja Rail Balticu mahu, mis ei ole doteeritav</t>
  </si>
  <si>
    <t>Ühistransport riik</t>
  </si>
  <si>
    <t>Proportsionaalne reisijateveo muutusega</t>
  </si>
  <si>
    <t>Ühistransport KOV</t>
  </si>
  <si>
    <t>Proportsionaalne reisijateveo muutusega alates 2035</t>
  </si>
  <si>
    <t>TAK</t>
  </si>
  <si>
    <t>Rail Baltic hooldus</t>
  </si>
  <si>
    <t>Proportsionaalne raudtee kaubavedude muutusega</t>
  </si>
  <si>
    <t>Kokku BAU + 10%</t>
  </si>
  <si>
    <t>Proportsionaalne reisijateveo kasvuga, jättes kasvust välja Rail Balticu mahu, mis ei ole doteeritav</t>
  </si>
  <si>
    <t>BAU+10%</t>
  </si>
  <si>
    <t>BAU väärtus</t>
  </si>
  <si>
    <t>STREAM TAK väärtus</t>
  </si>
  <si>
    <t>Kohandatud väärtus</t>
  </si>
  <si>
    <t>STREAM EE väärtus</t>
  </si>
  <si>
    <t>EE</t>
  </si>
  <si>
    <t>Raha on vaja mitte autodele, vaid kergliiklusele, road diet, rahustamine, liiklusohutus</t>
  </si>
  <si>
    <t>Kiiruse tõstmine 160 peale</t>
  </si>
  <si>
    <t>Ühekordne investeering 200, jaotatud 40 aasta peale</t>
  </si>
  <si>
    <t>Proportsionaalne sõiduautode läbisõidu muutusega EE stsenaariumis, algaasta 2010</t>
  </si>
  <si>
    <t>Proportsionaalne sõiduautode läbisõidu muutusega, senist mahajäämust tuleb järgi teha ja jalakäijate tingimused vajavad parandamist</t>
  </si>
  <si>
    <t>Rekonstrueerimised</t>
  </si>
  <si>
    <t>Kokku BAU + 20%</t>
  </si>
  <si>
    <t>BAU+20%</t>
  </si>
  <si>
    <t>TAK/BAU</t>
  </si>
  <si>
    <t>EE/BAU</t>
  </si>
  <si>
    <t xml:space="preserve">car </t>
  </si>
  <si>
    <t>bus</t>
  </si>
  <si>
    <t>train</t>
  </si>
  <si>
    <t>bus II</t>
  </si>
  <si>
    <t>STREAM</t>
  </si>
  <si>
    <t>car II</t>
  </si>
  <si>
    <t>Autosid</t>
  </si>
  <si>
    <t>Arvele uusi</t>
  </si>
  <si>
    <t>Arvele kasutatud</t>
  </si>
  <si>
    <t>Arvele kokku</t>
  </si>
  <si>
    <t>Arvelt maha</t>
  </si>
  <si>
    <t>Rahvastik</t>
  </si>
  <si>
    <t>SA/100 EL</t>
  </si>
  <si>
    <t>Uute sõidukite maksumus eraisik</t>
  </si>
  <si>
    <t>Uute sõidukite maksumus ettevõte</t>
  </si>
  <si>
    <t>Kasutatud sõidukite maksumus eraisik</t>
  </si>
  <si>
    <t>Kasutatud sõidukite maksumus ettevõte</t>
  </si>
  <si>
    <t>Stream autosid</t>
  </si>
  <si>
    <t>Lammutuste proportsioon on 2012 16000 arvelt maha, neist 13000 lammutusse</t>
  </si>
  <si>
    <t>Kiirus 160</t>
  </si>
  <si>
    <t>Tapa-Narva</t>
  </si>
  <si>
    <t>Tapa-Tartu</t>
  </si>
  <si>
    <t>Ülejäänud lõigud</t>
  </si>
  <si>
    <t>Transpordi infra ja teenuste kulud kokku (ilma sõiduautodeta)</t>
  </si>
  <si>
    <t>Transpordi infra + stsen lisategevused</t>
  </si>
  <si>
    <t>Tabel Hinnang meetmetega seotud otsestele avaliku sektori kuludele, kütuse kokkuhoiuga saavutatavale rahalisele kokkuhoiule ning maksutulude muutusele</t>
  </si>
  <si>
    <t xml:space="preserve"> Pehmed meetmed</t>
  </si>
  <si>
    <t>VÄHESEKKUV 2020</t>
  </si>
  <si>
    <t>TEADMISPÕHINE 2020</t>
  </si>
  <si>
    <t>Sõiduauto</t>
  </si>
  <si>
    <t>Kaubik</t>
  </si>
  <si>
    <t>Veoauto</t>
  </si>
  <si>
    <t>Buss</t>
  </si>
  <si>
    <t>Reisi-rong</t>
  </si>
  <si>
    <t>Kauba-rong</t>
  </si>
  <si>
    <t>Lennuk</t>
  </si>
  <si>
    <t>Maksumus (1000 EUR)</t>
  </si>
  <si>
    <t>Korrigeerimine</t>
  </si>
  <si>
    <t>Laev</t>
  </si>
  <si>
    <t>Kokku, TJ</t>
  </si>
  <si>
    <t>% 2020 tarbimisest</t>
  </si>
  <si>
    <t xml:space="preserve">Kulud-tulud,  1000 EUR/a KÕIK </t>
  </si>
  <si>
    <t>Meetme kaal stsenaariumis</t>
  </si>
  <si>
    <t>Kulud-tulud,  1000 EUR/a - VS_TAK 2020</t>
  </si>
  <si>
    <t>Energiasääst 2020, TJ/a</t>
  </si>
  <si>
    <t>Kulud-tulud,  1000 EUR/a - TEADMIS 2020</t>
  </si>
  <si>
    <t xml:space="preserve"> BAU TJ 2020</t>
  </si>
  <si>
    <t>Kulud/a</t>
  </si>
  <si>
    <t>Sääst</t>
  </si>
  <si>
    <t>Aktsiisitulu  muutus</t>
  </si>
  <si>
    <t>Maksu-tulu</t>
  </si>
  <si>
    <t>Kulutõhusus 1000 EUR/TJ</t>
  </si>
  <si>
    <t>Vähe</t>
  </si>
  <si>
    <t>Teadmispõhine</t>
  </si>
  <si>
    <t xml:space="preserve"> EE TJ 2020 kokkuhoid, min</t>
  </si>
  <si>
    <t xml:space="preserve"> EcoDrive</t>
  </si>
  <si>
    <t xml:space="preserve"> Kaugtöö, e-teenused</t>
  </si>
  <si>
    <t xml:space="preserve"> ÜT kampaaniad ja otseturundus</t>
  </si>
  <si>
    <t>Liikuvuskorraldus, kavad</t>
  </si>
  <si>
    <t>Autode kooskasutus</t>
  </si>
  <si>
    <t>Pehmed meetmed kokku</t>
  </si>
  <si>
    <t>Fiskaalsed meetmed</t>
  </si>
  <si>
    <t>Kulud ja tulud, 1000 EUR/a</t>
  </si>
  <si>
    <t>Meetme Kulud</t>
  </si>
  <si>
    <t>BAU TJ 2020</t>
  </si>
  <si>
    <t>Autode teekasutustasud</t>
  </si>
  <si>
    <t>Sõiduauto reg. maks</t>
  </si>
  <si>
    <t>Automaks, aasta</t>
  </si>
  <si>
    <t>Linnade parkimispoliitika, cash-out</t>
  </si>
  <si>
    <t>Ummikumaks, Tallinnas</t>
  </si>
  <si>
    <t xml:space="preserve"> Kütuseaktsiisi tõstmine</t>
  </si>
  <si>
    <t xml:space="preserve"> Raskeveokite teekasutustasud</t>
  </si>
  <si>
    <t>Elektriautode soodustused</t>
  </si>
  <si>
    <t>Fiskaalsed meetmed kokku</t>
  </si>
  <si>
    <t>Tehnoloogilised meetmed</t>
  </si>
  <si>
    <t>Raudtee elektrifitseerimine</t>
  </si>
  <si>
    <t>Raskeveokite rehvid_</t>
  </si>
  <si>
    <t>Raskeveokite aerodünaamika_</t>
  </si>
  <si>
    <t>Hübriidvedurid</t>
  </si>
  <si>
    <t>Kütusesäästlikud bussid</t>
  </si>
  <si>
    <t>Kuni 12t veokite start-stop</t>
  </si>
  <si>
    <t>Tehnoloogilised meetmed kokku</t>
  </si>
  <si>
    <t xml:space="preserve"> Infrastruktuuri ja teenuste meetmed</t>
  </si>
  <si>
    <t>20% ÜT-teenuse lisamine</t>
  </si>
  <si>
    <t xml:space="preserve">Rail Baltic </t>
  </si>
  <si>
    <t>Raudtee elektr.</t>
  </si>
  <si>
    <t>Kergliikluse arend.</t>
  </si>
  <si>
    <t>Infrastruktuuri ja teenuste meetmed kokku</t>
  </si>
  <si>
    <t>Planeerimisalased meetmed</t>
  </si>
  <si>
    <t>Maakasutuse suunamine, planeerimine</t>
  </si>
  <si>
    <t>Linnatänavate ümberkorrald.</t>
  </si>
  <si>
    <t>Linnade liikuvuskorraldus</t>
  </si>
  <si>
    <t>Planeerimisalased meetmed kokku</t>
  </si>
  <si>
    <t>TJ sääst</t>
  </si>
  <si>
    <t>KOKKU</t>
  </si>
  <si>
    <t>Kokku ilma infra ja teenuste meetmeteta topeltarvestuse vältimiseks</t>
  </si>
  <si>
    <t>VÄHESEKKUV 2030</t>
  </si>
  <si>
    <t>TEADMISPÕHINE 2030</t>
  </si>
  <si>
    <t>Kulud-tulud,  1000 EUR/a - TEADMIS 2030</t>
  </si>
  <si>
    <t>Kokku ilma infra ja teenuste meetmeteta topeltarvestuse välistamiseks</t>
  </si>
  <si>
    <t>Uued siseturule (eraisikud)</t>
  </si>
  <si>
    <t>Uued siseturule (ettevõtted)</t>
  </si>
  <si>
    <t>Kasutatud siseturule (eraisikud)</t>
  </si>
  <si>
    <t>Autode import</t>
  </si>
  <si>
    <t>Kasutatud siseturule (ettevõtted)</t>
  </si>
  <si>
    <r>
      <t>Aktsiis kütustelt +</t>
    </r>
    <r>
      <rPr>
        <sz val="10"/>
        <color rgb="FFFF0000"/>
        <rFont val="Calibri"/>
        <family val="2"/>
        <charset val="186"/>
        <scheme val="minor"/>
      </rPr>
      <t xml:space="preserve"> NB! Aktsiisimäärasid EE stsenaariumis inflatsiooni võrra ei tõsteta</t>
    </r>
  </si>
  <si>
    <t>Kui samal ajal ka Tallinna ummikumaks, siis selle võrra väiksem kogukulu-tulu</t>
  </si>
  <si>
    <t>Mareki sisend koondtabelisse 23.1.2014</t>
  </si>
  <si>
    <t>KIK eesmärk</t>
  </si>
  <si>
    <t>TE2020</t>
  </si>
  <si>
    <t>biometaani</t>
  </si>
  <si>
    <t>Autod</t>
  </si>
  <si>
    <t>Uued (kuni 3 aastat)</t>
  </si>
  <si>
    <t>Vanad (üle 3 aasta)</t>
  </si>
  <si>
    <t>Elektriautod</t>
  </si>
  <si>
    <t>EE kasutajaid</t>
  </si>
  <si>
    <t>http://www.heatwalkingcycling.org</t>
  </si>
  <si>
    <r>
      <t>Table 2-7: Calculation of estimated savings in 2008 for regular cyclists</t>
    </r>
    <r>
      <rPr>
        <b/>
        <i/>
        <sz val="6"/>
        <color theme="1"/>
        <rFont val="Helvetica"/>
      </rPr>
      <t xml:space="preserve">49 </t>
    </r>
  </si>
  <si>
    <r>
      <t xml:space="preserve">OECD (2010). </t>
    </r>
    <r>
      <rPr>
        <i/>
        <sz val="11"/>
        <color theme="1"/>
        <rFont val="Helvetica"/>
      </rPr>
      <t>OECD Health Data 2010: Statistics and Indicators.</t>
    </r>
  </si>
  <si>
    <t xml:space="preserve">Estonia </t>
  </si>
  <si>
    <t xml:space="preserve">Italy </t>
  </si>
  <si>
    <t xml:space="preserve">Netherlands </t>
  </si>
  <si>
    <t xml:space="preserve">Poland </t>
  </si>
  <si>
    <t xml:space="preserve">Portugal </t>
  </si>
  <si>
    <t xml:space="preserve">Population </t>
  </si>
  <si>
    <t xml:space="preserve">1.34 mil </t>
  </si>
  <si>
    <t xml:space="preserve">59.17 mil </t>
  </si>
  <si>
    <t xml:space="preserve">16.4 mil </t>
  </si>
  <si>
    <t xml:space="preserve">38.1 mil </t>
  </si>
  <si>
    <t xml:space="preserve">10.6 mil </t>
  </si>
  <si>
    <t xml:space="preserve">total expenditure on health in million euro </t>
  </si>
  <si>
    <r>
      <t xml:space="preserve">Cost related to death of </t>
    </r>
    <r>
      <rPr>
        <sz val="6"/>
        <color theme="1"/>
        <rFont val="Helvetica"/>
      </rPr>
      <t xml:space="preserve">50 </t>
    </r>
    <r>
      <rPr>
        <sz val="9"/>
        <color theme="1"/>
        <rFont val="Helvetica"/>
      </rPr>
      <t xml:space="preserve">cardiovascular diseases </t>
    </r>
  </si>
  <si>
    <t xml:space="preserve">Average Total Distance </t>
  </si>
  <si>
    <t xml:space="preserve">2,080 km </t>
  </si>
  <si>
    <t xml:space="preserve">Savings (€ per person-km) </t>
  </si>
  <si>
    <t>Tervisesääst 1000€</t>
  </si>
  <si>
    <t>Kergliikluse vähenemise tervisekahju, rahaline kulu</t>
  </si>
  <si>
    <t>Võrreldes TAK</t>
  </si>
  <si>
    <t>Võrreldes EE</t>
  </si>
  <si>
    <t>Avalikud hüved/kulud</t>
  </si>
  <si>
    <t>Lisanduva kergliikluse positiivne tervisemõju, rahaline kokkuhoid</t>
  </si>
  <si>
    <t>LINGITUD Stsenaariumite failidega</t>
  </si>
  <si>
    <t>Kütuse turuhind EUR/TJ 2012</t>
  </si>
  <si>
    <t>New Policies IEA</t>
  </si>
  <si>
    <t>El</t>
  </si>
  <si>
    <t>barrel (USD 2012)</t>
  </si>
  <si>
    <t>võrdlus %</t>
  </si>
  <si>
    <t>2035 kasv on tehtud 2030/2035 kasvu%</t>
  </si>
  <si>
    <t>gaas võrdlus %</t>
  </si>
  <si>
    <t>diisel</t>
  </si>
  <si>
    <t>bensiin</t>
  </si>
  <si>
    <t>keskmine</t>
  </si>
  <si>
    <t>biodiisel</t>
  </si>
  <si>
    <t>etanool</t>
  </si>
  <si>
    <t>biogaas</t>
  </si>
  <si>
    <t>Surumaagaas</t>
  </si>
  <si>
    <t>Aktsiisi laekumine EUR/TJ</t>
  </si>
  <si>
    <t>CO2 maks/TJ</t>
  </si>
  <si>
    <t>Biokütuste aktsiis võrreldes fossiil</t>
  </si>
  <si>
    <t>ETD eelnõu</t>
  </si>
  <si>
    <t>siin sektoris ei arvesta</t>
  </si>
  <si>
    <t>Käibemaks kütuselt EUR/TJ</t>
  </si>
  <si>
    <t>TJ hind lõpptarbijale</t>
  </si>
  <si>
    <t>EUR/TJ</t>
  </si>
  <si>
    <t>Osakaal tarbimisest</t>
  </si>
  <si>
    <t>liiter/TJ</t>
  </si>
  <si>
    <t>Kaallutud keskm.</t>
  </si>
  <si>
    <t>Kaalutud keskmine hind lõpptarbijale EUR/TJ</t>
  </si>
  <si>
    <t>Kaalutud keskmine liitrit/TJ</t>
  </si>
  <si>
    <t>TJ hind ilma käibemaksuta</t>
  </si>
  <si>
    <t>Kaalutud keskmine ilma km</t>
  </si>
  <si>
    <t>Kütuse käibemaks, EUR/TJ</t>
  </si>
  <si>
    <t>Kütuseaktsiisi tõstmine (nii, et kütuse jaehind kasvab  5%)</t>
  </si>
  <si>
    <t>Vahe</t>
  </si>
  <si>
    <t>Uus aktsiis</t>
  </si>
  <si>
    <t>% kasv</t>
  </si>
  <si>
    <t xml:space="preserve">Diisli hind tanklates </t>
  </si>
  <si>
    <t>Kütuse maailmaturuhind</t>
  </si>
  <si>
    <t>Müüja</t>
  </si>
  <si>
    <t>Bensiini hind tanklates</t>
  </si>
  <si>
    <t xml:space="preserve">Aktsiis </t>
  </si>
  <si>
    <t xml:space="preserve">Müüja </t>
  </si>
  <si>
    <t xml:space="preserve">Maagaasi aktsiis  EUR/m3 </t>
  </si>
  <si>
    <t>Elektriaktsiis</t>
  </si>
  <si>
    <t>Kütteväärtus MJ/m3</t>
  </si>
  <si>
    <t>0.0036</t>
  </si>
  <si>
    <t>EUR</t>
  </si>
  <si>
    <t>MJ</t>
  </si>
  <si>
    <t>Elektri hind - Liberal Scenario</t>
  </si>
  <si>
    <t>€/MWh</t>
  </si>
  <si>
    <t>2012</t>
  </si>
  <si>
    <t>2020</t>
  </si>
  <si>
    <t>2026</t>
  </si>
  <si>
    <t>2030</t>
  </si>
  <si>
    <t>2035</t>
  </si>
  <si>
    <t>2040</t>
  </si>
  <si>
    <t>2045</t>
  </si>
  <si>
    <t>2050</t>
  </si>
  <si>
    <t>ESTONIA</t>
  </si>
  <si>
    <t>MWh</t>
  </si>
  <si>
    <t>Biometaani</t>
  </si>
  <si>
    <t>Müügitoetus</t>
  </si>
  <si>
    <t>toe</t>
  </si>
  <si>
    <t>Nm3</t>
  </si>
  <si>
    <t>eur</t>
  </si>
  <si>
    <t>Investeeringutoetus</t>
  </si>
  <si>
    <t>CO2 diislist 78 ton/TJ</t>
  </si>
  <si>
    <t>CO2 tons</t>
  </si>
  <si>
    <t>väliskulu</t>
  </si>
  <si>
    <t xml:space="preserve">CNG tanklas </t>
  </si>
  <si>
    <t>0,779 EUR/kg</t>
  </si>
  <si>
    <t>kg</t>
  </si>
  <si>
    <t>kliimamuutused, CO2 ekv, EUR/ton</t>
  </si>
  <si>
    <t xml:space="preserve"> Year of application  </t>
  </si>
  <si>
    <t xml:space="preserve"> Lower value  </t>
  </si>
  <si>
    <t xml:space="preserve"> Central value  </t>
  </si>
  <si>
    <t xml:space="preserve"> Upper value  </t>
  </si>
  <si>
    <r>
      <t xml:space="preserve"> </t>
    </r>
    <r>
      <rPr>
        <sz val="8"/>
        <color indexed="8"/>
        <rFont val="Verdana"/>
        <family val="2"/>
      </rPr>
      <t>45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</si>
  <si>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 xml:space="preserve">17 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</si>
  <si>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>70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</si>
  <si>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 xml:space="preserve">22 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</si>
  <si>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>100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</si>
  <si>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>135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</si>
  <si>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 xml:space="preserve">20 </t>
    </r>
    <r>
      <rPr>
        <sz val="8"/>
        <rFont val="Verdana"/>
        <family val="2"/>
      </rPr>
      <t xml:space="preserve"> </t>
    </r>
  </si>
  <si>
    <r>
      <t xml:space="preserve"> </t>
    </r>
    <r>
      <rPr>
        <sz val="8"/>
        <color indexed="8"/>
        <rFont val="Verdana"/>
        <family val="2"/>
      </rPr>
      <t>180</t>
    </r>
    <r>
      <rPr>
        <sz val="8"/>
        <rFont val="Verdana"/>
        <family val="2"/>
      </rPr>
      <t xml:space="preserve"> </t>
    </r>
  </si>
  <si>
    <t>Allikas: Handbook</t>
  </si>
  <si>
    <t>CO2 heite väliskulu</t>
  </si>
  <si>
    <t>CO2 heite väliskulu, osaliselt sisestatud maksudesse</t>
  </si>
  <si>
    <t>kasvab koos maagaasi hinna kasvutempoga</t>
  </si>
  <si>
    <t>Tõhususe näitajad</t>
  </si>
  <si>
    <t>Energia lõpptarbimine aastal 2030</t>
  </si>
  <si>
    <t>2012 vs 2030</t>
  </si>
  <si>
    <r>
      <t>CO</t>
    </r>
    <r>
      <rPr>
        <b/>
        <vertAlign val="subscript"/>
        <sz val="10"/>
        <rFont val="Calibri"/>
        <family val="2"/>
        <charset val="186"/>
      </rPr>
      <t>2ekv</t>
    </r>
    <r>
      <rPr>
        <b/>
        <sz val="10"/>
        <rFont val="Calibri"/>
        <family val="2"/>
        <charset val="186"/>
      </rPr>
      <t xml:space="preserve">  emissioon </t>
    </r>
  </si>
  <si>
    <t xml:space="preserve">Fossiilkütuste tarbimine TJ </t>
  </si>
  <si>
    <t xml:space="preserve">Taastuvate energiaallikate tarbimine  TJ </t>
  </si>
  <si>
    <t>Mittesekkuv</t>
  </si>
  <si>
    <t>Vähesekkuv</t>
  </si>
  <si>
    <t>Saavutatav energiasäästu %  2012 vs 2030</t>
  </si>
  <si>
    <r>
      <t>Ühik-maksumus eur/TJ</t>
    </r>
    <r>
      <rPr>
        <sz val="8"/>
        <rFont val="Calibri"/>
        <family val="2"/>
        <charset val="186"/>
      </rPr>
      <t> </t>
    </r>
    <r>
      <rPr>
        <b/>
        <sz val="10"/>
        <rFont val="Calibri"/>
        <family val="2"/>
        <charset val="186"/>
      </rPr>
      <t>/a</t>
    </r>
  </si>
  <si>
    <t>Stsenaariumi lisategevuste kulud kokku, mis ei kajastu ülemistes ridades</t>
  </si>
  <si>
    <t>Stsenaariumi tegevused eraldi kokku</t>
  </si>
  <si>
    <r>
      <t>Maksumus kokku 2015-2030</t>
    </r>
    <r>
      <rPr>
        <sz val="8"/>
        <rFont val="Calibri"/>
        <family val="2"/>
        <charset val="186"/>
      </rPr>
      <t> </t>
    </r>
  </si>
  <si>
    <t>Taristu investeering kokkku</t>
  </si>
  <si>
    <t>Taristu hooldus kokku</t>
  </si>
  <si>
    <t>Kulutused kütustele kokku</t>
  </si>
  <si>
    <t>Aktsiisitulu kütustelt</t>
  </si>
  <si>
    <t>Sõiduautode soetamine</t>
  </si>
  <si>
    <t>Sõiduautode hooldus</t>
  </si>
  <si>
    <t>Kergliikluse tervisemõju</t>
  </si>
  <si>
    <t>Arvestatud on põletamise, mitte tootmise CO2 jalajlge -- biokütuste faktorid tuleb panna tootmise poolele; http://www.ipcc.ch/meetings/session25/doc4a4b/vol2.pdf</t>
  </si>
  <si>
    <t>Arvestatud on põletamise, mitte tootmise CO2 jalajlge -- biokütuste faktorid tuleb panna tootmise poolele http://www.ipcc.ch/meetings/session25/doc4a4b/vol2.pdf</t>
  </si>
  <si>
    <t xml:space="preserve">Ühistranspordi osakaal motoriseeritud liiklusest </t>
  </si>
  <si>
    <t>Kaubaveod (tonn-km muutus</t>
  </si>
  <si>
    <t>Raudtee osakaal</t>
  </si>
  <si>
    <t>Taastuvenergia osakaal transpordis</t>
  </si>
  <si>
    <t xml:space="preserve">Tabel 2 Stsenaariumide valdkonnaspetsiifilised eeldused.  </t>
  </si>
  <si>
    <t>viiide failile. Kus asub ja kas on jooonis olemas</t>
  </si>
  <si>
    <t>30/base</t>
  </si>
  <si>
    <t>auto+buss+rong</t>
  </si>
  <si>
    <t>VS</t>
  </si>
  <si>
    <t>Buss/kogu motor</t>
  </si>
  <si>
    <t>(muutus protsentidena aastaks 2030)</t>
  </si>
  <si>
    <t>baas</t>
  </si>
  <si>
    <t>Sõiduautode arv</t>
  </si>
  <si>
    <t>pkm jooniseid pole</t>
  </si>
  <si>
    <t>ratas/kogu</t>
  </si>
  <si>
    <t>Autostumise tase, SA/1000 el</t>
  </si>
  <si>
    <t>ENMAK autostumine taust.xlsx, graafid olemas</t>
  </si>
  <si>
    <t>kaubaveod</t>
  </si>
  <si>
    <t>raudtee osakaal</t>
  </si>
  <si>
    <t>ÜT BAU</t>
  </si>
  <si>
    <t>ÜT VS</t>
  </si>
  <si>
    <t>ÜT EE</t>
  </si>
  <si>
    <t>olemas</t>
  </si>
  <si>
    <t>Baastase</t>
  </si>
  <si>
    <t>Ühistranspordi osakaalu muutus</t>
  </si>
  <si>
    <t>Reisijanõudluse muutus</t>
  </si>
  <si>
    <t>Väliskulu kokku</t>
  </si>
  <si>
    <t>Buss, reisija-km</t>
  </si>
  <si>
    <t>Rong</t>
  </si>
  <si>
    <t>Kaubarong</t>
  </si>
  <si>
    <t>Kaubaveod</t>
  </si>
  <si>
    <t>sõiduki-km</t>
  </si>
  <si>
    <t>reisija-km</t>
  </si>
  <si>
    <t>tonn-km</t>
  </si>
  <si>
    <t>Sõidukite ökonoomsus</t>
  </si>
  <si>
    <t>CO2 heite väliskulu, sisestatud maksudesse alates 2020</t>
  </si>
  <si>
    <t>Väliskulud kokku</t>
  </si>
  <si>
    <t>Kergliikluse mõjude vahe EE-ststen võrreldes</t>
  </si>
  <si>
    <t>Sisestamata Väliskulud kokku 2015-2020</t>
  </si>
  <si>
    <t>Kokkuhoid</t>
  </si>
  <si>
    <t>Ühistranspordi toetused</t>
  </si>
  <si>
    <t>Kergliikluse muutus, miljonit reisijakm</t>
  </si>
  <si>
    <t>Inimeste transpordinõudluse muutus (miljonit reisija-km)</t>
  </si>
  <si>
    <t>Aastas Keskmiselt säästetud TJ kokku võrreldas BAUga</t>
  </si>
  <si>
    <t>BAU-VS</t>
  </si>
  <si>
    <t>BAU-EE</t>
  </si>
  <si>
    <t>Mittesekkuv (BAU)</t>
  </si>
  <si>
    <t>Vähesekkuv (VS)</t>
  </si>
  <si>
    <t>Enegiatõhus (EE)</t>
  </si>
  <si>
    <t>Autode kulud</t>
  </si>
  <si>
    <t>Kütuste kulu kokku</t>
  </si>
  <si>
    <t>Kulutused sõiduautodele</t>
  </si>
  <si>
    <t>Diislikütus</t>
  </si>
  <si>
    <t>Välismõjud, 1000 €</t>
  </si>
  <si>
    <t>Tulu muudelt transpordimaksudelt</t>
  </si>
  <si>
    <t>Väliskulud-tulud kokku 2015-2030</t>
  </si>
  <si>
    <t>Kergliikluse tervisekulu/sääst</t>
  </si>
  <si>
    <t>Hinnanguline kergliikluse vähenemise tekkiv välismõju, väheneb sama palju kui EE kasv</t>
  </si>
  <si>
    <r>
      <t xml:space="preserve">Maksumus 1000 </t>
    </r>
    <r>
      <rPr>
        <b/>
        <sz val="9"/>
        <rFont val="Calibri"/>
        <family val="2"/>
        <charset val="186"/>
      </rPr>
      <t>€*</t>
    </r>
  </si>
  <si>
    <t>* Tulu on tabelis negatiivse märgiga</t>
  </si>
  <si>
    <t>Stsenaariumi tegevuste kulu</t>
  </si>
  <si>
    <t>Kulutused transpordimaksudele</t>
  </si>
  <si>
    <r>
      <t>Otsekulu kokku 201</t>
    </r>
    <r>
      <rPr>
        <b/>
        <sz val="10"/>
        <color rgb="FFFF0000"/>
        <rFont val="Calibri"/>
        <family val="2"/>
        <charset val="186"/>
      </rPr>
      <t>5</t>
    </r>
    <r>
      <rPr>
        <b/>
        <sz val="10"/>
        <rFont val="Calibri"/>
        <family val="2"/>
        <charset val="186"/>
      </rPr>
      <t xml:space="preserve">-2030 </t>
    </r>
    <r>
      <rPr>
        <b/>
        <sz val="8"/>
        <rFont val="Calibri"/>
        <family val="2"/>
        <charset val="186"/>
      </rPr>
      <t> </t>
    </r>
  </si>
  <si>
    <t>Keskmine kogukulu-kokkuhoid võrreldes BAU</t>
  </si>
  <si>
    <t>Taastuvate energiaallikate osakaal 2030</t>
  </si>
  <si>
    <r>
      <t>Ühikmaksumus eur/TJ</t>
    </r>
    <r>
      <rPr>
        <sz val="8"/>
        <rFont val="Calibri"/>
        <family val="2"/>
        <charset val="186"/>
      </rPr>
      <t> </t>
    </r>
    <r>
      <rPr>
        <b/>
        <sz val="10"/>
        <rFont val="Calibri"/>
        <family val="2"/>
        <charset val="186"/>
      </rPr>
      <t>/a</t>
    </r>
  </si>
  <si>
    <t>Raudtee osakaal kaubavedudes</t>
  </si>
  <si>
    <t xml:space="preserve">Sõidukite ökonoomsuse muutus, </t>
  </si>
  <si>
    <t>Sõiduauto, MJ/sõiduki-km</t>
  </si>
  <si>
    <t>Buss, reisija-km, MJ/reisija-km</t>
  </si>
  <si>
    <t>Rong, MJ/reisija-km</t>
  </si>
  <si>
    <t>Veoauto, MJ/tonn-km</t>
  </si>
  <si>
    <t>Kaubarong, , MJ/tonn-km</t>
  </si>
  <si>
    <t>Kaubaveod, , MJ/tonn-km</t>
  </si>
  <si>
    <r>
      <t xml:space="preserve">Otsekulu kokku 2015-2030 </t>
    </r>
    <r>
      <rPr>
        <b/>
        <sz val="8"/>
        <rFont val="Calibri"/>
        <family val="2"/>
        <charset val="186"/>
      </rPr>
      <t> </t>
    </r>
  </si>
  <si>
    <t>Kergliikluse tervisekulu/kokkuhoid*</t>
  </si>
  <si>
    <t>Aastas Keskmiselt säästetud TJ kokku võrreldes BAUga</t>
  </si>
  <si>
    <t>Kaubaveovekäive, miljon tonn-km</t>
  </si>
  <si>
    <t>Taristu investeeringud</t>
  </si>
  <si>
    <t>Taristu hooldus</t>
  </si>
  <si>
    <t>Kulutused kütustele</t>
  </si>
  <si>
    <t>Transpordimaksud</t>
  </si>
  <si>
    <t>Energiasäästu tegevuste kulu</t>
  </si>
  <si>
    <t xml:space="preserve">Väliskulud-tulud </t>
  </si>
  <si>
    <r>
      <t xml:space="preserve">Maksumus 2015-2030 (1000000 </t>
    </r>
    <r>
      <rPr>
        <b/>
        <sz val="9"/>
        <rFont val="Calibri"/>
        <family val="2"/>
        <charset val="186"/>
      </rPr>
      <t>€)</t>
    </r>
  </si>
  <si>
    <t>Välismõjud, 1000 000€</t>
  </si>
  <si>
    <t>Sõiduautode soetamine ja hooldus</t>
  </si>
  <si>
    <r>
      <t xml:space="preserve">Keskmine aastane maksumus, 15 a (1000000 </t>
    </r>
    <r>
      <rPr>
        <b/>
        <sz val="9"/>
        <rFont val="Calibri"/>
        <family val="2"/>
        <charset val="186"/>
      </rPr>
      <t>€)</t>
    </r>
  </si>
  <si>
    <t>Avaliku sektori kulud-tulud meetme kohta</t>
  </si>
  <si>
    <t xml:space="preserve">Kulu </t>
  </si>
  <si>
    <t>Avaliku sektori otsesed tulud-kulud</t>
  </si>
  <si>
    <t>SEE ON HANNESEGA KOOS TEHTUD</t>
  </si>
  <si>
    <t>Sum of BAU TJ 2030</t>
  </si>
  <si>
    <t>% 2030 tarbimisest</t>
  </si>
  <si>
    <t>Kaudsed positiivsed mõjud</t>
  </si>
  <si>
    <t xml:space="preserve">Tallinna ummikumaks </t>
  </si>
  <si>
    <t>Kütuseaktsiisi tõstmine</t>
  </si>
  <si>
    <t>Linnade parkimispoliitika</t>
  </si>
  <si>
    <t>Kergliikluse arendamine</t>
  </si>
  <si>
    <t>Sõiduauto  aastamaks</t>
  </si>
  <si>
    <t>Linnatänavate uus disain</t>
  </si>
  <si>
    <t>Maakasutuse suunamine</t>
  </si>
  <si>
    <t>ÜT kampaaniad ja otseturundus</t>
  </si>
  <si>
    <t>Säästlik sõiduviis</t>
  </si>
  <si>
    <t>&lt;12t veokite start-stop</t>
  </si>
  <si>
    <t>Raudtee elektrifit.</t>
  </si>
  <si>
    <t>Veokite säästlikud rehvid</t>
  </si>
  <si>
    <t>Mitmemootorilised vedurid</t>
  </si>
  <si>
    <t>Raskeveokite aerodünaamika</t>
  </si>
  <si>
    <t>40983</t>
  </si>
  <si>
    <t>Ühistranspordi arendamine</t>
  </si>
  <si>
    <t xml:space="preserve"> BAU 2020 41000 TJ</t>
  </si>
  <si>
    <t>LINN %</t>
  </si>
  <si>
    <t>Positiivsed tervisemõjud</t>
  </si>
  <si>
    <t>Energiatõhus (EE)</t>
  </si>
  <si>
    <t>Meetme kulud-tulud</t>
  </si>
  <si>
    <t>Vähesekkuv 2030</t>
  </si>
  <si>
    <t>Kütuse sääst</t>
  </si>
  <si>
    <t>Aktsiisi vähen</t>
  </si>
  <si>
    <t>Kaal</t>
  </si>
  <si>
    <t>Kokku (1000 €/a)</t>
  </si>
  <si>
    <t>Teadmispõhine (EE)</t>
  </si>
  <si>
    <t>Elektri hind koos km ja aktsiisiga</t>
  </si>
  <si>
    <t>kWh</t>
  </si>
  <si>
    <t xml:space="preserve">aktsiis </t>
  </si>
  <si>
    <t>käibemaksuta</t>
  </si>
  <si>
    <t>km-ta ja aktsiisita</t>
  </si>
  <si>
    <t>Aktsiis kütustelt</t>
  </si>
  <si>
    <t>biometaan</t>
  </si>
  <si>
    <t>Keskmine kogukulu-kokkuhoid võrreldes BAU M€/a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</si>
</sst>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.0%"/>
    <numFmt numFmtId="166" formatCode="_(* #,##0.00_);_(* \(#,##0.00\);_(* &quot;-&quot;??_);_(@_)"/>
    <numFmt numFmtId="167" formatCode="0.0"/>
    <numFmt numFmtId="168" formatCode="#,##0.0"/>
    <numFmt numFmtId="169" formatCode="_-[$€-2]\ * #,##0_-;\-[$€-2]\ * #,##0_-;_-[$€-2]\ * &quot;-&quot;??_-;_-@_-"/>
    <numFmt numFmtId="170" formatCode="0.000"/>
    <numFmt numFmtId="171" formatCode="[$€-2]\ #,##0;[Red]\-[$€-2]\ #,##0"/>
    <numFmt numFmtId="172" formatCode="\+0%"/>
    <numFmt numFmtId="173" formatCode="\+0%;\-0%;0"/>
    <numFmt numFmtId="174" formatCode="\+0.0%;\-0.0%;0.0"/>
  </numFmts>
  <fonts count="135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6"/>
      <name val="Arial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MS Sans Serif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Arial"/>
      <family val="2"/>
      <charset val="186"/>
    </font>
    <font>
      <b/>
      <sz val="11"/>
      <color rgb="FFC0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theme="2" tint="-0.74999237037263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mbria"/>
      <family val="1"/>
      <charset val="186"/>
    </font>
    <font>
      <b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indexed="8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10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color indexed="8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1"/>
      <color theme="0" tint="-0.499984740745262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0"/>
      <color rgb="FF0000FF"/>
      <name val="Calibri"/>
      <family val="2"/>
      <charset val="186"/>
      <scheme val="minor"/>
    </font>
    <font>
      <sz val="12"/>
      <color rgb="FF0000FF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2"/>
      <color rgb="FF000000"/>
      <name val="Calibri"/>
      <family val="2"/>
      <scheme val="minor"/>
    </font>
    <font>
      <b/>
      <sz val="10"/>
      <color rgb="FF494529"/>
      <name val="Calibri"/>
      <family val="2"/>
      <charset val="186"/>
      <scheme val="minor"/>
    </font>
    <font>
      <sz val="10"/>
      <color rgb="FF494529"/>
      <name val="Calibri"/>
      <family val="2"/>
      <charset val="186"/>
      <scheme val="minor"/>
    </font>
    <font>
      <sz val="10"/>
      <color rgb="FF0000FF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MS Sans Serif"/>
      <family val="2"/>
      <charset val="186"/>
    </font>
    <font>
      <b/>
      <sz val="10"/>
      <name val="MS Sans Serif"/>
      <family val="2"/>
      <charset val="186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9" tint="-0.249977111117893"/>
      <name val="MS Sans Serif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i/>
      <sz val="9"/>
      <color indexed="8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0"/>
      <color theme="0" tint="-0.499984740745262"/>
      <name val="Calibri"/>
      <family val="2"/>
      <charset val="186"/>
      <scheme val="minor"/>
    </font>
    <font>
      <sz val="10"/>
      <color theme="0" tint="-0.499984740745262"/>
      <name val="Calibri"/>
      <family val="2"/>
      <charset val="186"/>
      <scheme val="minor"/>
    </font>
    <font>
      <b/>
      <i/>
      <sz val="10"/>
      <color theme="0" tint="-0.499984740745262"/>
      <name val="Calibri"/>
      <family val="2"/>
      <charset val="186"/>
      <scheme val="minor"/>
    </font>
    <font>
      <i/>
      <sz val="10"/>
      <color theme="0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color theme="1"/>
      <name val="Helvetica"/>
    </font>
    <font>
      <b/>
      <i/>
      <sz val="6"/>
      <color theme="1"/>
      <name val="Helvetica"/>
    </font>
    <font>
      <sz val="11"/>
      <color theme="1"/>
      <name val="Helvetica"/>
    </font>
    <font>
      <i/>
      <sz val="11"/>
      <color theme="1"/>
      <name val="Helvetica"/>
    </font>
    <font>
      <b/>
      <sz val="9"/>
      <color rgb="FFFFFFFF"/>
      <name val="Helvetica"/>
    </font>
    <font>
      <sz val="9"/>
      <color theme="1"/>
      <name val="Helvetica"/>
    </font>
    <font>
      <sz val="6"/>
      <color theme="1"/>
      <name val="Helvetica"/>
    </font>
    <font>
      <b/>
      <sz val="10"/>
      <color rgb="FFFF0000"/>
      <name val="MS Sans Serif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61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i/>
      <sz val="11"/>
      <color rgb="FF006100"/>
      <name val="Calibri"/>
      <family val="2"/>
      <charset val="186"/>
    </font>
    <font>
      <b/>
      <i/>
      <sz val="11"/>
      <color rgb="FF006100"/>
      <name val="Calibri"/>
      <family val="2"/>
      <charset val="186"/>
    </font>
    <font>
      <sz val="10"/>
      <color theme="0" tint="-0.14999847407452621"/>
      <name val="MS Sans Serif"/>
      <family val="2"/>
      <charset val="186"/>
    </font>
    <font>
      <sz val="9"/>
      <color rgb="FF000000"/>
      <name val="Verdana"/>
      <family val="2"/>
      <charset val="186"/>
    </font>
    <font>
      <b/>
      <sz val="11"/>
      <color rgb="FF000000"/>
      <name val="Times New Roman"/>
      <family val="1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8"/>
      <color theme="0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b/>
      <vertAlign val="subscript"/>
      <sz val="10"/>
      <name val="Calibri"/>
      <family val="2"/>
      <charset val="186"/>
    </font>
    <font>
      <b/>
      <sz val="9"/>
      <name val="Calibri"/>
      <family val="2"/>
      <charset val="186"/>
    </font>
    <font>
      <sz val="8"/>
      <name val="Calibri"/>
      <family val="2"/>
      <charset val="186"/>
    </font>
    <font>
      <b/>
      <sz val="8.5"/>
      <name val="MS Sans Serif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</font>
    <font>
      <b/>
      <i/>
      <sz val="10"/>
      <color rgb="FF808080"/>
      <name val="Calibri"/>
      <family val="2"/>
      <charset val="186"/>
    </font>
    <font>
      <i/>
      <sz val="10"/>
      <name val="Calibri"/>
      <family val="2"/>
      <charset val="186"/>
    </font>
    <font>
      <i/>
      <sz val="10"/>
      <name val="Arial"/>
      <family val="2"/>
      <charset val="186"/>
    </font>
    <font>
      <i/>
      <sz val="8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8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color theme="4" tint="-0.249977111117893"/>
      <name val="Arial"/>
      <family val="2"/>
      <charset val="186"/>
    </font>
    <font>
      <b/>
      <sz val="10"/>
      <color rgb="FFFFFFFF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8CB2E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rgb="FFD9D9D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</fills>
  <borders count="1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 style="medium">
        <color auto="1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auto="1"/>
      </bottom>
      <diagonal/>
    </border>
    <border>
      <left style="thin">
        <color rgb="FFC4BD97"/>
      </left>
      <right style="thin">
        <color rgb="FFC4BD97"/>
      </right>
      <top style="medium">
        <color auto="1"/>
      </top>
      <bottom/>
      <diagonal/>
    </border>
    <border>
      <left/>
      <right style="thin">
        <color rgb="FFC4BD97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/>
      <diagonal/>
    </border>
    <border>
      <left/>
      <right style="thin">
        <color rgb="FFC4BD97"/>
      </right>
      <top style="thin">
        <color rgb="FFC4BD97"/>
      </top>
      <bottom/>
      <diagonal/>
    </border>
    <border>
      <left style="thin">
        <color auto="1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medium">
        <color auto="1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medium">
        <color auto="1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 style="medium">
        <color auto="1"/>
      </bottom>
      <diagonal/>
    </border>
    <border>
      <left style="thin">
        <color theme="2" tint="-0.249977111117893"/>
      </left>
      <right/>
      <top style="medium">
        <color auto="1"/>
      </top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/>
      <top style="thin">
        <color rgb="FFC4BD97"/>
      </top>
      <bottom style="thin">
        <color rgb="FFC4BD97"/>
      </bottom>
      <diagonal/>
    </border>
    <border>
      <left/>
      <right style="thin">
        <color rgb="FFC4BD97"/>
      </right>
      <top/>
      <bottom style="thin">
        <color rgb="FFC4BD97"/>
      </bottom>
      <diagonal/>
    </border>
    <border>
      <left/>
      <right/>
      <top/>
      <bottom style="thin">
        <color rgb="FFC4BD97"/>
      </bottom>
      <diagonal/>
    </border>
  </borders>
  <cellStyleXfs count="284">
    <xf numFmtId="0" fontId="0" fillId="0" borderId="0"/>
    <xf numFmtId="164" fontId="12" fillId="5" borderId="0" applyNumberFormat="0" applyFon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9" fillId="7" borderId="0" applyNumberFormat="0" applyFont="0" applyBorder="0" applyAlignment="0" applyProtection="0">
      <alignment horizontal="center"/>
    </xf>
    <xf numFmtId="0" fontId="9" fillId="3" borderId="0" applyNumberFormat="0" applyFont="0" applyBorder="0" applyAlignment="0" applyProtection="0"/>
    <xf numFmtId="0" fontId="9" fillId="0" borderId="0"/>
    <xf numFmtId="0" fontId="9" fillId="4" borderId="0" applyNumberFormat="0" applyFont="0" applyBorder="0" applyAlignment="0" applyProtection="0"/>
    <xf numFmtId="0" fontId="9" fillId="0" borderId="0"/>
    <xf numFmtId="0" fontId="20" fillId="0" borderId="0"/>
    <xf numFmtId="0" fontId="20" fillId="0" borderId="0"/>
    <xf numFmtId="0" fontId="7" fillId="0" borderId="0"/>
    <xf numFmtId="0" fontId="16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166" fontId="9" fillId="8" borderId="0" applyNumberFormat="0" applyFont="0" applyBorder="0" applyAlignment="0" applyProtection="0"/>
    <xf numFmtId="166" fontId="9" fillId="9" borderId="0" applyNumberFormat="0" applyFont="0" applyBorder="0" applyAlignment="0" applyProtection="0"/>
    <xf numFmtId="166" fontId="9" fillId="8" borderId="0" applyNumberFormat="0" applyFont="0" applyBorder="0" applyAlignment="0" applyProtection="0"/>
    <xf numFmtId="0" fontId="21" fillId="0" borderId="0"/>
    <xf numFmtId="0" fontId="6" fillId="0" borderId="0"/>
    <xf numFmtId="0" fontId="5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9" fillId="0" borderId="0"/>
    <xf numFmtId="0" fontId="59" fillId="0" borderId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4" fillId="0" borderId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</cellStyleXfs>
  <cellXfs count="1169">
    <xf numFmtId="0" fontId="0" fillId="0" borderId="0" xfId="0"/>
    <xf numFmtId="0" fontId="8" fillId="0" borderId="0" xfId="0" applyFont="1"/>
    <xf numFmtId="0" fontId="10" fillId="4" borderId="1" xfId="7" applyFont="1" applyFill="1" applyBorder="1" applyAlignment="1">
      <alignment horizontal="left"/>
    </xf>
    <xf numFmtId="0" fontId="9" fillId="4" borderId="2" xfId="7" applyFont="1" applyFill="1" applyBorder="1"/>
    <xf numFmtId="0" fontId="9" fillId="4" borderId="3" xfId="7" applyFont="1" applyFill="1" applyBorder="1"/>
    <xf numFmtId="0" fontId="8" fillId="0" borderId="1" xfId="0" applyFont="1" applyBorder="1"/>
    <xf numFmtId="0" fontId="8" fillId="0" borderId="2" xfId="0" applyFont="1" applyBorder="1"/>
    <xf numFmtId="0" fontId="0" fillId="0" borderId="3" xfId="0" applyBorder="1"/>
    <xf numFmtId="0" fontId="11" fillId="4" borderId="4" xfId="7" applyFont="1" applyFill="1" applyBorder="1" applyAlignment="1">
      <alignment horizontal="left"/>
    </xf>
    <xf numFmtId="0" fontId="9" fillId="4" borderId="0" xfId="7" applyFont="1" applyFill="1" applyBorder="1" applyAlignment="1">
      <alignment horizontal="center"/>
    </xf>
    <xf numFmtId="0" fontId="9" fillId="4" borderId="5" xfId="7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8" fillId="0" borderId="0" xfId="0" applyFont="1" applyBorder="1"/>
    <xf numFmtId="0" fontId="8" fillId="0" borderId="5" xfId="0" applyFont="1" applyBorder="1"/>
    <xf numFmtId="0" fontId="11" fillId="4" borderId="6" xfId="7" applyFont="1" applyFill="1" applyBorder="1"/>
    <xf numFmtId="0" fontId="9" fillId="4" borderId="7" xfId="7" applyFont="1" applyFill="1" applyBorder="1" applyAlignment="1">
      <alignment horizontal="center"/>
    </xf>
    <xf numFmtId="0" fontId="9" fillId="4" borderId="8" xfId="7" applyFont="1" applyFill="1" applyBorder="1" applyAlignment="1">
      <alignment horizontal="center"/>
    </xf>
    <xf numFmtId="0" fontId="8" fillId="0" borderId="4" xfId="0" applyFont="1" applyBorder="1"/>
    <xf numFmtId="3" fontId="0" fillId="0" borderId="0" xfId="0" applyNumberFormat="1" applyBorder="1"/>
    <xf numFmtId="3" fontId="8" fillId="0" borderId="5" xfId="0" applyNumberFormat="1" applyFont="1" applyBorder="1"/>
    <xf numFmtId="0" fontId="9" fillId="4" borderId="9" xfId="7" applyFont="1" applyFill="1" applyBorder="1"/>
    <xf numFmtId="3" fontId="9" fillId="4" borderId="0" xfId="1" applyNumberFormat="1" applyFont="1" applyFill="1" applyBorder="1"/>
    <xf numFmtId="9" fontId="9" fillId="4" borderId="0" xfId="15" applyNumberFormat="1" applyFont="1" applyFill="1" applyBorder="1" applyProtection="1">
      <protection locked="0"/>
    </xf>
    <xf numFmtId="165" fontId="9" fillId="4" borderId="0" xfId="15" applyNumberFormat="1" applyFont="1" applyFill="1" applyBorder="1" applyProtection="1">
      <protection locked="0"/>
    </xf>
    <xf numFmtId="9" fontId="9" fillId="4" borderId="5" xfId="1" applyNumberFormat="1" applyFont="1" applyFill="1" applyBorder="1"/>
    <xf numFmtId="0" fontId="9" fillId="4" borderId="10" xfId="7" applyFont="1" applyFill="1" applyBorder="1"/>
    <xf numFmtId="9" fontId="9" fillId="4" borderId="0" xfId="15" applyFont="1" applyFill="1" applyBorder="1" applyProtection="1">
      <protection locked="0"/>
    </xf>
    <xf numFmtId="0" fontId="9" fillId="4" borderId="11" xfId="7" applyFont="1" applyFill="1" applyBorder="1"/>
    <xf numFmtId="9" fontId="9" fillId="4" borderId="0" xfId="1" applyNumberFormat="1" applyFont="1" applyFill="1" applyBorder="1"/>
    <xf numFmtId="3" fontId="8" fillId="0" borderId="0" xfId="0" applyNumberFormat="1" applyFont="1" applyBorder="1"/>
    <xf numFmtId="0" fontId="11" fillId="4" borderId="11" xfId="7" applyFont="1" applyFill="1" applyBorder="1"/>
    <xf numFmtId="3" fontId="11" fillId="4" borderId="12" xfId="1" applyNumberFormat="1" applyFont="1" applyFill="1" applyBorder="1"/>
    <xf numFmtId="3" fontId="11" fillId="4" borderId="13" xfId="1" applyNumberFormat="1" applyFont="1" applyFill="1" applyBorder="1"/>
    <xf numFmtId="3" fontId="0" fillId="0" borderId="5" xfId="0" applyNumberFormat="1" applyBorder="1"/>
    <xf numFmtId="0" fontId="9" fillId="4" borderId="14" xfId="7" applyFont="1" applyFill="1" applyBorder="1"/>
    <xf numFmtId="0" fontId="9" fillId="4" borderId="2" xfId="7" applyFont="1" applyFill="1" applyBorder="1" applyAlignment="1">
      <alignment horizontal="center"/>
    </xf>
    <xf numFmtId="0" fontId="9" fillId="4" borderId="3" xfId="7" applyFont="1" applyFill="1" applyBorder="1" applyAlignment="1">
      <alignment horizontal="center"/>
    </xf>
    <xf numFmtId="0" fontId="11" fillId="4" borderId="11" xfId="7" applyFont="1" applyFill="1" applyBorder="1" applyAlignment="1">
      <alignment horizontal="left"/>
    </xf>
    <xf numFmtId="3" fontId="0" fillId="0" borderId="2" xfId="0" applyNumberFormat="1" applyBorder="1"/>
    <xf numFmtId="3" fontId="0" fillId="0" borderId="3" xfId="0" applyNumberFormat="1" applyBorder="1"/>
    <xf numFmtId="0" fontId="11" fillId="4" borderId="15" xfId="7" applyFont="1" applyFill="1" applyBorder="1"/>
    <xf numFmtId="0" fontId="9" fillId="4" borderId="11" xfId="7" applyFont="1" applyFill="1" applyBorder="1" applyAlignment="1">
      <alignment horizontal="center"/>
    </xf>
    <xf numFmtId="3" fontId="11" fillId="6" borderId="16" xfId="1" applyNumberFormat="1" applyFont="1" applyFill="1" applyBorder="1"/>
    <xf numFmtId="9" fontId="11" fillId="6" borderId="16" xfId="1" applyNumberFormat="1" applyFont="1" applyFill="1" applyBorder="1"/>
    <xf numFmtId="165" fontId="11" fillId="6" borderId="16" xfId="1" applyNumberFormat="1" applyFont="1" applyFill="1" applyBorder="1"/>
    <xf numFmtId="9" fontId="11" fillId="6" borderId="17" xfId="1" applyNumberFormat="1" applyFont="1" applyFill="1" applyBorder="1"/>
    <xf numFmtId="3" fontId="11" fillId="6" borderId="19" xfId="1" applyNumberFormat="1" applyFont="1" applyFill="1" applyBorder="1" applyAlignment="1">
      <alignment wrapText="1"/>
    </xf>
    <xf numFmtId="3" fontId="11" fillId="6" borderId="19" xfId="1" applyNumberFormat="1" applyFont="1" applyFill="1" applyBorder="1"/>
    <xf numFmtId="3" fontId="11" fillId="6" borderId="20" xfId="1" applyNumberFormat="1" applyFont="1" applyFill="1" applyBorder="1"/>
    <xf numFmtId="0" fontId="0" fillId="0" borderId="21" xfId="0" applyBorder="1"/>
    <xf numFmtId="0" fontId="8" fillId="0" borderId="19" xfId="0" applyFont="1" applyBorder="1"/>
    <xf numFmtId="3" fontId="8" fillId="0" borderId="19" xfId="0" applyNumberFormat="1" applyFont="1" applyBorder="1"/>
    <xf numFmtId="3" fontId="8" fillId="0" borderId="20" xfId="0" applyNumberFormat="1" applyFont="1" applyBorder="1"/>
    <xf numFmtId="3" fontId="0" fillId="0" borderId="0" xfId="0" applyNumberFormat="1"/>
    <xf numFmtId="0" fontId="13" fillId="4" borderId="1" xfId="7" applyFont="1" applyFill="1" applyBorder="1" applyAlignment="1">
      <alignment horizontal="left"/>
    </xf>
    <xf numFmtId="0" fontId="0" fillId="0" borderId="2" xfId="0" applyBorder="1"/>
    <xf numFmtId="0" fontId="8" fillId="0" borderId="22" xfId="0" applyFont="1" applyBorder="1"/>
    <xf numFmtId="0" fontId="0" fillId="0" borderId="23" xfId="0" applyBorder="1"/>
    <xf numFmtId="3" fontId="8" fillId="0" borderId="23" xfId="0" applyNumberFormat="1" applyFont="1" applyBorder="1"/>
    <xf numFmtId="3" fontId="8" fillId="0" borderId="24" xfId="0" applyNumberFormat="1" applyFont="1" applyBorder="1"/>
    <xf numFmtId="0" fontId="8" fillId="0" borderId="23" xfId="0" applyFont="1" applyBorder="1"/>
    <xf numFmtId="3" fontId="0" fillId="0" borderId="23" xfId="0" applyNumberFormat="1" applyBorder="1"/>
    <xf numFmtId="0" fontId="0" fillId="0" borderId="22" xfId="0" applyBorder="1"/>
    <xf numFmtId="3" fontId="0" fillId="0" borderId="24" xfId="0" applyNumberFormat="1" applyBorder="1"/>
    <xf numFmtId="0" fontId="0" fillId="0" borderId="9" xfId="0" applyBorder="1"/>
    <xf numFmtId="0" fontId="8" fillId="0" borderId="25" xfId="0" applyFont="1" applyBorder="1"/>
    <xf numFmtId="3" fontId="0" fillId="0" borderId="25" xfId="0" applyNumberFormat="1" applyBorder="1"/>
    <xf numFmtId="3" fontId="8" fillId="0" borderId="26" xfId="0" applyNumberFormat="1" applyFont="1" applyBorder="1"/>
    <xf numFmtId="0" fontId="8" fillId="0" borderId="27" xfId="0" applyFont="1" applyBorder="1"/>
    <xf numFmtId="0" fontId="8" fillId="0" borderId="28" xfId="0" applyFont="1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15" xfId="0" applyBorder="1"/>
    <xf numFmtId="0" fontId="8" fillId="0" borderId="30" xfId="0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0" fontId="21" fillId="0" borderId="0" xfId="25"/>
    <xf numFmtId="0" fontId="8" fillId="0" borderId="1" xfId="25" applyFont="1" applyBorder="1"/>
    <xf numFmtId="0" fontId="8" fillId="0" borderId="2" xfId="25" applyFont="1" applyBorder="1"/>
    <xf numFmtId="0" fontId="21" fillId="0" borderId="2" xfId="25" applyBorder="1"/>
    <xf numFmtId="0" fontId="21" fillId="0" borderId="3" xfId="25" applyBorder="1"/>
    <xf numFmtId="0" fontId="21" fillId="0" borderId="4" xfId="25" applyBorder="1"/>
    <xf numFmtId="0" fontId="7" fillId="0" borderId="0" xfId="25" applyFont="1" applyBorder="1"/>
    <xf numFmtId="0" fontId="21" fillId="0" borderId="0" xfId="25" applyBorder="1"/>
    <xf numFmtId="0" fontId="21" fillId="0" borderId="5" xfId="25" applyBorder="1"/>
    <xf numFmtId="0" fontId="8" fillId="0" borderId="0" xfId="25" applyFont="1" applyBorder="1"/>
    <xf numFmtId="0" fontId="8" fillId="0" borderId="5" xfId="25" applyFont="1" applyBorder="1"/>
    <xf numFmtId="0" fontId="8" fillId="0" borderId="4" xfId="25" applyFont="1" applyBorder="1"/>
    <xf numFmtId="1" fontId="21" fillId="0" borderId="0" xfId="25" applyNumberFormat="1" applyBorder="1"/>
    <xf numFmtId="1" fontId="8" fillId="0" borderId="5" xfId="25" applyNumberFormat="1" applyFont="1" applyBorder="1"/>
    <xf numFmtId="3" fontId="8" fillId="4" borderId="0" xfId="1" applyNumberFormat="1" applyFont="1" applyFill="1" applyBorder="1"/>
    <xf numFmtId="3" fontId="8" fillId="4" borderId="19" xfId="1" applyNumberFormat="1" applyFont="1" applyFill="1" applyBorder="1"/>
    <xf numFmtId="0" fontId="21" fillId="0" borderId="21" xfId="25" applyBorder="1"/>
    <xf numFmtId="0" fontId="8" fillId="0" borderId="19" xfId="25" applyFont="1" applyBorder="1"/>
    <xf numFmtId="1" fontId="8" fillId="0" borderId="19" xfId="25" applyNumberFormat="1" applyFont="1" applyBorder="1"/>
    <xf numFmtId="1" fontId="8" fillId="0" borderId="20" xfId="25" applyNumberFormat="1" applyFont="1" applyBorder="1"/>
    <xf numFmtId="1" fontId="21" fillId="0" borderId="5" xfId="25" applyNumberFormat="1" applyBorder="1"/>
    <xf numFmtId="1" fontId="8" fillId="0" borderId="0" xfId="25" applyNumberFormat="1" applyFont="1" applyBorder="1"/>
    <xf numFmtId="0" fontId="7" fillId="0" borderId="22" xfId="25" applyFont="1" applyBorder="1"/>
    <xf numFmtId="0" fontId="21" fillId="0" borderId="23" xfId="25" applyBorder="1"/>
    <xf numFmtId="0" fontId="8" fillId="0" borderId="23" xfId="25" applyFont="1" applyBorder="1"/>
    <xf numFmtId="0" fontId="8" fillId="0" borderId="24" xfId="25" applyFont="1" applyBorder="1"/>
    <xf numFmtId="0" fontId="8" fillId="0" borderId="22" xfId="25" applyFont="1" applyBorder="1"/>
    <xf numFmtId="1" fontId="21" fillId="0" borderId="23" xfId="25" applyNumberFormat="1" applyBorder="1"/>
    <xf numFmtId="1" fontId="21" fillId="0" borderId="0" xfId="25" applyNumberFormat="1"/>
    <xf numFmtId="0" fontId="21" fillId="0" borderId="22" xfId="25" applyBorder="1"/>
    <xf numFmtId="1" fontId="8" fillId="0" borderId="24" xfId="25" applyNumberFormat="1" applyFont="1" applyBorder="1"/>
    <xf numFmtId="1" fontId="8" fillId="0" borderId="23" xfId="25" applyNumberFormat="1" applyFont="1" applyBorder="1"/>
    <xf numFmtId="0" fontId="21" fillId="0" borderId="24" xfId="25" applyBorder="1"/>
    <xf numFmtId="1" fontId="21" fillId="4" borderId="5" xfId="25" applyNumberFormat="1" applyFill="1" applyBorder="1"/>
    <xf numFmtId="0" fontId="21" fillId="0" borderId="9" xfId="25" applyBorder="1"/>
    <xf numFmtId="0" fontId="8" fillId="0" borderId="25" xfId="25" applyFont="1" applyBorder="1"/>
    <xf numFmtId="1" fontId="21" fillId="0" borderId="25" xfId="25" applyNumberFormat="1" applyBorder="1"/>
    <xf numFmtId="1" fontId="8" fillId="0" borderId="26" xfId="25" applyNumberFormat="1" applyFont="1" applyBorder="1"/>
    <xf numFmtId="0" fontId="8" fillId="0" borderId="27" xfId="25" applyFont="1" applyBorder="1"/>
    <xf numFmtId="0" fontId="8" fillId="0" borderId="28" xfId="25" applyFont="1" applyBorder="1"/>
    <xf numFmtId="0" fontId="21" fillId="0" borderId="28" xfId="25" applyBorder="1"/>
    <xf numFmtId="0" fontId="21" fillId="0" borderId="29" xfId="25" applyBorder="1"/>
    <xf numFmtId="0" fontId="21" fillId="0" borderId="15" xfId="25" applyBorder="1"/>
    <xf numFmtId="0" fontId="8" fillId="0" borderId="30" xfId="25" applyFont="1" applyBorder="1"/>
    <xf numFmtId="1" fontId="8" fillId="0" borderId="30" xfId="25" applyNumberFormat="1" applyFont="1" applyBorder="1"/>
    <xf numFmtId="1" fontId="8" fillId="0" borderId="31" xfId="25" applyNumberFormat="1" applyFont="1" applyBorder="1"/>
    <xf numFmtId="0" fontId="8" fillId="0" borderId="0" xfId="25" applyFont="1"/>
    <xf numFmtId="0" fontId="0" fillId="0" borderId="19" xfId="0" applyBorder="1"/>
    <xf numFmtId="0" fontId="6" fillId="4" borderId="0" xfId="26" applyFill="1" applyBorder="1"/>
    <xf numFmtId="0" fontId="23" fillId="8" borderId="0" xfId="26" applyFont="1" applyFill="1" applyBorder="1"/>
    <xf numFmtId="0" fontId="6" fillId="4" borderId="33" xfId="26" applyFill="1" applyBorder="1"/>
    <xf numFmtId="167" fontId="25" fillId="4" borderId="34" xfId="26" applyNumberFormat="1" applyFont="1" applyFill="1" applyBorder="1"/>
    <xf numFmtId="167" fontId="25" fillId="4" borderId="34" xfId="26" applyNumberFormat="1" applyFont="1" applyFill="1" applyBorder="1" applyAlignment="1">
      <alignment horizontal="left" indent="1"/>
    </xf>
    <xf numFmtId="3" fontId="11" fillId="6" borderId="23" xfId="1" applyNumberFormat="1" applyFont="1" applyFill="1" applyBorder="1"/>
    <xf numFmtId="9" fontId="11" fillId="6" borderId="23" xfId="1" applyNumberFormat="1" applyFont="1" applyFill="1" applyBorder="1"/>
    <xf numFmtId="165" fontId="11" fillId="6" borderId="23" xfId="1" applyNumberFormat="1" applyFont="1" applyFill="1" applyBorder="1"/>
    <xf numFmtId="3" fontId="11" fillId="6" borderId="23" xfId="1" applyNumberFormat="1" applyFont="1" applyFill="1" applyBorder="1" applyAlignment="1">
      <alignment wrapText="1"/>
    </xf>
    <xf numFmtId="167" fontId="25" fillId="4" borderId="34" xfId="26" applyNumberFormat="1" applyFont="1" applyFill="1" applyBorder="1" applyAlignment="1">
      <alignment horizontal="right" indent="1"/>
    </xf>
    <xf numFmtId="0" fontId="28" fillId="4" borderId="0" xfId="26" applyFont="1" applyFill="1" applyBorder="1"/>
    <xf numFmtId="0" fontId="13" fillId="3" borderId="1" xfId="7" applyFont="1" applyBorder="1" applyAlignment="1">
      <alignment horizontal="left"/>
    </xf>
    <xf numFmtId="0" fontId="13" fillId="3" borderId="2" xfId="7" applyFont="1" applyBorder="1" applyAlignment="1">
      <alignment horizontal="left"/>
    </xf>
    <xf numFmtId="0" fontId="9" fillId="3" borderId="2" xfId="7" applyBorder="1"/>
    <xf numFmtId="0" fontId="9" fillId="3" borderId="3" xfId="7" applyBorder="1"/>
    <xf numFmtId="0" fontId="11" fillId="3" borderId="4" xfId="7" applyFont="1" applyBorder="1" applyAlignment="1">
      <alignment horizontal="left"/>
    </xf>
    <xf numFmtId="0" fontId="9" fillId="3" borderId="0" xfId="7" applyBorder="1" applyAlignment="1">
      <alignment horizontal="center"/>
    </xf>
    <xf numFmtId="0" fontId="9" fillId="3" borderId="5" xfId="7" applyBorder="1" applyAlignment="1">
      <alignment horizontal="center"/>
    </xf>
    <xf numFmtId="0" fontId="11" fillId="3" borderId="6" xfId="7" applyFont="1" applyBorder="1"/>
    <xf numFmtId="0" fontId="9" fillId="3" borderId="7" xfId="7" applyBorder="1" applyAlignment="1">
      <alignment horizontal="center"/>
    </xf>
    <xf numFmtId="0" fontId="9" fillId="3" borderId="8" xfId="7" applyBorder="1" applyAlignment="1">
      <alignment horizontal="center"/>
    </xf>
    <xf numFmtId="0" fontId="9" fillId="3" borderId="9" xfId="7" applyBorder="1"/>
    <xf numFmtId="3" fontId="9" fillId="5" borderId="0" xfId="1" applyNumberFormat="1" applyFont="1" applyBorder="1"/>
    <xf numFmtId="0" fontId="9" fillId="3" borderId="10" xfId="7" applyBorder="1"/>
    <xf numFmtId="0" fontId="9" fillId="3" borderId="11" xfId="7" applyBorder="1"/>
    <xf numFmtId="0" fontId="11" fillId="3" borderId="11" xfId="7" applyFont="1" applyBorder="1"/>
    <xf numFmtId="0" fontId="9" fillId="3" borderId="14" xfId="7" applyBorder="1"/>
    <xf numFmtId="0" fontId="11" fillId="3" borderId="11" xfId="7" applyFont="1" applyBorder="1" applyAlignment="1">
      <alignment horizontal="left"/>
    </xf>
    <xf numFmtId="0" fontId="11" fillId="3" borderId="15" xfId="7" applyFont="1" applyBorder="1"/>
    <xf numFmtId="0" fontId="9" fillId="3" borderId="11" xfId="7" applyBorder="1" applyAlignment="1">
      <alignment horizontal="center"/>
    </xf>
    <xf numFmtId="3" fontId="25" fillId="4" borderId="34" xfId="26" applyNumberFormat="1" applyFont="1" applyFill="1" applyBorder="1"/>
    <xf numFmtId="3" fontId="25" fillId="6" borderId="34" xfId="26" applyNumberFormat="1" applyFont="1" applyFill="1" applyBorder="1"/>
    <xf numFmtId="3" fontId="6" fillId="4" borderId="0" xfId="26" applyNumberFormat="1" applyFill="1" applyBorder="1"/>
    <xf numFmtId="168" fontId="25" fillId="4" borderId="34" xfId="26" applyNumberFormat="1" applyFont="1" applyFill="1" applyBorder="1"/>
    <xf numFmtId="3" fontId="25" fillId="4" borderId="36" xfId="26" applyNumberFormat="1" applyFont="1" applyFill="1" applyBorder="1"/>
    <xf numFmtId="167" fontId="25" fillId="4" borderId="37" xfId="26" applyNumberFormat="1" applyFont="1" applyFill="1" applyBorder="1"/>
    <xf numFmtId="168" fontId="25" fillId="4" borderId="38" xfId="26" applyNumberFormat="1" applyFont="1" applyFill="1" applyBorder="1"/>
    <xf numFmtId="3" fontId="25" fillId="10" borderId="34" xfId="26" applyNumberFormat="1" applyFont="1" applyFill="1" applyBorder="1"/>
    <xf numFmtId="3" fontId="21" fillId="0" borderId="0" xfId="25" applyNumberFormat="1" applyBorder="1"/>
    <xf numFmtId="3" fontId="8" fillId="0" borderId="5" xfId="25" applyNumberFormat="1" applyFont="1" applyBorder="1"/>
    <xf numFmtId="3" fontId="21" fillId="0" borderId="5" xfId="25" applyNumberFormat="1" applyBorder="1"/>
    <xf numFmtId="3" fontId="21" fillId="0" borderId="2" xfId="25" applyNumberFormat="1" applyBorder="1"/>
    <xf numFmtId="3" fontId="21" fillId="0" borderId="3" xfId="25" applyNumberFormat="1" applyBorder="1"/>
    <xf numFmtId="3" fontId="8" fillId="0" borderId="19" xfId="25" applyNumberFormat="1" applyFont="1" applyBorder="1"/>
    <xf numFmtId="3" fontId="8" fillId="0" borderId="20" xfId="25" applyNumberFormat="1" applyFont="1" applyBorder="1"/>
    <xf numFmtId="3" fontId="21" fillId="0" borderId="0" xfId="25" applyNumberFormat="1"/>
    <xf numFmtId="3" fontId="8" fillId="0" borderId="0" xfId="25" applyNumberFormat="1" applyFont="1" applyBorder="1"/>
    <xf numFmtId="3" fontId="8" fillId="0" borderId="23" xfId="25" applyNumberFormat="1" applyFont="1" applyBorder="1"/>
    <xf numFmtId="3" fontId="8" fillId="0" borderId="24" xfId="25" applyNumberFormat="1" applyFont="1" applyBorder="1"/>
    <xf numFmtId="3" fontId="21" fillId="0" borderId="23" xfId="25" applyNumberFormat="1" applyBorder="1"/>
    <xf numFmtId="3" fontId="21" fillId="0" borderId="24" xfId="25" applyNumberFormat="1" applyBorder="1"/>
    <xf numFmtId="3" fontId="21" fillId="4" borderId="5" xfId="25" applyNumberFormat="1" applyFill="1" applyBorder="1"/>
    <xf numFmtId="3" fontId="21" fillId="0" borderId="25" xfId="25" applyNumberFormat="1" applyBorder="1"/>
    <xf numFmtId="3" fontId="8" fillId="0" borderId="26" xfId="25" applyNumberFormat="1" applyFont="1" applyBorder="1"/>
    <xf numFmtId="3" fontId="21" fillId="0" borderId="28" xfId="25" applyNumberFormat="1" applyBorder="1"/>
    <xf numFmtId="3" fontId="21" fillId="0" borderId="29" xfId="25" applyNumberFormat="1" applyBorder="1"/>
    <xf numFmtId="3" fontId="8" fillId="0" borderId="30" xfId="25" applyNumberFormat="1" applyFont="1" applyBorder="1"/>
    <xf numFmtId="3" fontId="8" fillId="0" borderId="31" xfId="25" applyNumberFormat="1" applyFont="1" applyBorder="1"/>
    <xf numFmtId="3" fontId="34" fillId="4" borderId="34" xfId="26" applyNumberFormat="1" applyFont="1" applyFill="1" applyBorder="1"/>
    <xf numFmtId="0" fontId="6" fillId="6" borderId="0" xfId="26" applyFill="1" applyBorder="1"/>
    <xf numFmtId="167" fontId="25" fillId="6" borderId="34" xfId="26" applyNumberFormat="1" applyFont="1" applyFill="1" applyBorder="1"/>
    <xf numFmtId="0" fontId="33" fillId="6" borderId="0" xfId="26" applyFont="1" applyFill="1" applyBorder="1"/>
    <xf numFmtId="3" fontId="27" fillId="6" borderId="34" xfId="26" applyNumberFormat="1" applyFont="1" applyFill="1" applyBorder="1"/>
    <xf numFmtId="3" fontId="39" fillId="6" borderId="34" xfId="26" applyNumberFormat="1" applyFont="1" applyFill="1" applyBorder="1"/>
    <xf numFmtId="0" fontId="36" fillId="11" borderId="33" xfId="26" applyFont="1" applyFill="1" applyBorder="1"/>
    <xf numFmtId="167" fontId="37" fillId="11" borderId="0" xfId="26" applyNumberFormat="1" applyFont="1" applyFill="1" applyBorder="1" applyAlignment="1">
      <alignment horizontal="left" indent="1"/>
    </xf>
    <xf numFmtId="0" fontId="36" fillId="11" borderId="0" xfId="26" applyFont="1" applyFill="1" applyBorder="1"/>
    <xf numFmtId="167" fontId="27" fillId="6" borderId="34" xfId="26" applyNumberFormat="1" applyFont="1" applyFill="1" applyBorder="1" applyAlignment="1">
      <alignment horizontal="right" indent="1"/>
    </xf>
    <xf numFmtId="3" fontId="39" fillId="6" borderId="40" xfId="26" applyNumberFormat="1" applyFont="1" applyFill="1" applyBorder="1"/>
    <xf numFmtId="0" fontId="33" fillId="6" borderId="33" xfId="26" applyFont="1" applyFill="1" applyBorder="1"/>
    <xf numFmtId="0" fontId="6" fillId="12" borderId="33" xfId="26" applyFill="1" applyBorder="1"/>
    <xf numFmtId="0" fontId="6" fillId="12" borderId="0" xfId="26" applyFill="1" applyBorder="1"/>
    <xf numFmtId="0" fontId="41" fillId="12" borderId="33" xfId="26" applyFont="1" applyFill="1" applyBorder="1"/>
    <xf numFmtId="0" fontId="41" fillId="12" borderId="0" xfId="26" applyFont="1" applyFill="1" applyBorder="1"/>
    <xf numFmtId="0" fontId="31" fillId="12" borderId="33" xfId="26" applyFont="1" applyFill="1" applyBorder="1"/>
    <xf numFmtId="0" fontId="31" fillId="12" borderId="0" xfId="26" applyFont="1" applyFill="1" applyBorder="1"/>
    <xf numFmtId="0" fontId="36" fillId="12" borderId="33" xfId="26" applyFont="1" applyFill="1" applyBorder="1"/>
    <xf numFmtId="0" fontId="36" fillId="12" borderId="0" xfId="26" applyFont="1" applyFill="1" applyBorder="1"/>
    <xf numFmtId="0" fontId="42" fillId="13" borderId="0" xfId="29" applyFill="1"/>
    <xf numFmtId="0" fontId="43" fillId="13" borderId="32" xfId="29" applyFont="1" applyFill="1" applyBorder="1"/>
    <xf numFmtId="0" fontId="44" fillId="13" borderId="0" xfId="29" applyFont="1" applyFill="1"/>
    <xf numFmtId="0" fontId="42" fillId="13" borderId="45" xfId="29" applyFill="1" applyBorder="1"/>
    <xf numFmtId="0" fontId="42" fillId="0" borderId="0" xfId="29"/>
    <xf numFmtId="0" fontId="23" fillId="0" borderId="0" xfId="29" applyFont="1" applyFill="1" applyBorder="1"/>
    <xf numFmtId="0" fontId="24" fillId="4" borderId="32" xfId="29" applyFont="1" applyFill="1" applyBorder="1"/>
    <xf numFmtId="0" fontId="45" fillId="4" borderId="32" xfId="29" applyFont="1" applyFill="1" applyBorder="1"/>
    <xf numFmtId="0" fontId="45" fillId="4" borderId="35" xfId="29" applyFont="1" applyFill="1" applyBorder="1"/>
    <xf numFmtId="0" fontId="42" fillId="0" borderId="45" xfId="29" applyBorder="1"/>
    <xf numFmtId="167" fontId="46" fillId="14" borderId="34" xfId="29" applyNumberFormat="1" applyFont="1" applyFill="1" applyBorder="1"/>
    <xf numFmtId="1" fontId="46" fillId="14" borderId="34" xfId="29" applyNumberFormat="1" applyFont="1" applyFill="1" applyBorder="1"/>
    <xf numFmtId="1" fontId="46" fillId="14" borderId="36" xfId="29" applyNumberFormat="1" applyFont="1" applyFill="1" applyBorder="1"/>
    <xf numFmtId="1" fontId="46" fillId="14" borderId="47" xfId="29" applyNumberFormat="1" applyFont="1" applyFill="1" applyBorder="1"/>
    <xf numFmtId="167" fontId="47" fillId="15" borderId="34" xfId="29" applyNumberFormat="1" applyFont="1" applyFill="1" applyBorder="1" applyAlignment="1">
      <alignment horizontal="left" indent="1"/>
    </xf>
    <xf numFmtId="167" fontId="25" fillId="15" borderId="34" xfId="29" applyNumberFormat="1" applyFont="1" applyFill="1" applyBorder="1"/>
    <xf numFmtId="1" fontId="47" fillId="15" borderId="34" xfId="29" applyNumberFormat="1" applyFont="1" applyFill="1" applyBorder="1"/>
    <xf numFmtId="1" fontId="47" fillId="15" borderId="36" xfId="29" applyNumberFormat="1" applyFont="1" applyFill="1" applyBorder="1"/>
    <xf numFmtId="1" fontId="47" fillId="15" borderId="47" xfId="29" applyNumberFormat="1" applyFont="1" applyFill="1" applyBorder="1"/>
    <xf numFmtId="1" fontId="25" fillId="0" borderId="34" xfId="29" applyNumberFormat="1" applyFont="1" applyFill="1" applyBorder="1" applyAlignment="1">
      <alignment horizontal="left" indent="2"/>
    </xf>
    <xf numFmtId="167" fontId="25" fillId="4" borderId="34" xfId="29" applyNumberFormat="1" applyFont="1" applyFill="1" applyBorder="1"/>
    <xf numFmtId="167" fontId="47" fillId="4" borderId="34" xfId="29" applyNumberFormat="1" applyFont="1" applyFill="1" applyBorder="1"/>
    <xf numFmtId="167" fontId="48" fillId="4" borderId="34" xfId="29" applyNumberFormat="1" applyFont="1" applyFill="1" applyBorder="1"/>
    <xf numFmtId="165" fontId="0" fillId="0" borderId="45" xfId="30" applyNumberFormat="1" applyFont="1" applyBorder="1"/>
    <xf numFmtId="167" fontId="25" fillId="0" borderId="34" xfId="29" applyNumberFormat="1" applyFont="1" applyFill="1" applyBorder="1" applyAlignment="1">
      <alignment horizontal="left" indent="2"/>
    </xf>
    <xf numFmtId="0" fontId="25" fillId="0" borderId="0" xfId="29" applyFont="1" applyAlignment="1">
      <alignment horizontal="left" indent="2"/>
    </xf>
    <xf numFmtId="1" fontId="25" fillId="4" borderId="34" xfId="29" applyNumberFormat="1" applyFont="1" applyFill="1" applyBorder="1"/>
    <xf numFmtId="1" fontId="48" fillId="0" borderId="34" xfId="29" applyNumberFormat="1" applyFont="1" applyFill="1" applyBorder="1"/>
    <xf numFmtId="1" fontId="42" fillId="0" borderId="0" xfId="29" applyNumberFormat="1"/>
    <xf numFmtId="9" fontId="0" fillId="0" borderId="0" xfId="30" applyFont="1"/>
    <xf numFmtId="167" fontId="42" fillId="0" borderId="0" xfId="29" applyNumberFormat="1"/>
    <xf numFmtId="1" fontId="47" fillId="4" borderId="34" xfId="29" applyNumberFormat="1" applyFont="1" applyFill="1" applyBorder="1"/>
    <xf numFmtId="1" fontId="48" fillId="4" borderId="34" xfId="29" applyNumberFormat="1" applyFont="1" applyFill="1" applyBorder="1"/>
    <xf numFmtId="9" fontId="42" fillId="0" borderId="45" xfId="29" applyNumberFormat="1" applyBorder="1"/>
    <xf numFmtId="0" fontId="49" fillId="0" borderId="0" xfId="29" applyFont="1"/>
    <xf numFmtId="10" fontId="42" fillId="0" borderId="45" xfId="29" applyNumberFormat="1" applyBorder="1"/>
    <xf numFmtId="167" fontId="25" fillId="0" borderId="34" xfId="29" applyNumberFormat="1" applyFont="1" applyFill="1" applyBorder="1"/>
    <xf numFmtId="0" fontId="25" fillId="0" borderId="0" xfId="29" applyFont="1" applyFill="1" applyBorder="1" applyAlignment="1">
      <alignment horizontal="left" indent="1"/>
    </xf>
    <xf numFmtId="167" fontId="25" fillId="0" borderId="34" xfId="29" applyNumberFormat="1" applyFont="1" applyFill="1" applyBorder="1" applyAlignment="1">
      <alignment horizontal="left" indent="1"/>
    </xf>
    <xf numFmtId="0" fontId="42" fillId="0" borderId="0" xfId="29" applyAlignment="1">
      <alignment horizontal="right"/>
    </xf>
    <xf numFmtId="0" fontId="44" fillId="0" borderId="0" xfId="29" applyFont="1"/>
    <xf numFmtId="0" fontId="42" fillId="8" borderId="0" xfId="29" applyFill="1"/>
    <xf numFmtId="0" fontId="43" fillId="8" borderId="32" xfId="29" applyFont="1" applyFill="1" applyBorder="1"/>
    <xf numFmtId="0" fontId="44" fillId="8" borderId="0" xfId="29" applyFont="1" applyFill="1"/>
    <xf numFmtId="0" fontId="42" fillId="8" borderId="45" xfId="29" applyFill="1" applyBorder="1"/>
    <xf numFmtId="167" fontId="25" fillId="13" borderId="34" xfId="29" applyNumberFormat="1" applyFont="1" applyFill="1" applyBorder="1"/>
    <xf numFmtId="167" fontId="47" fillId="13" borderId="34" xfId="29" applyNumberFormat="1" applyFont="1" applyFill="1" applyBorder="1"/>
    <xf numFmtId="167" fontId="25" fillId="8" borderId="34" xfId="29" applyNumberFormat="1" applyFont="1" applyFill="1" applyBorder="1"/>
    <xf numFmtId="167" fontId="48" fillId="13" borderId="34" xfId="29" applyNumberFormat="1" applyFont="1" applyFill="1" applyBorder="1"/>
    <xf numFmtId="1" fontId="48" fillId="13" borderId="34" xfId="29" applyNumberFormat="1" applyFont="1" applyFill="1" applyBorder="1"/>
    <xf numFmtId="1" fontId="25" fillId="13" borderId="34" xfId="29" applyNumberFormat="1" applyFont="1" applyFill="1" applyBorder="1"/>
    <xf numFmtId="1" fontId="25" fillId="8" borderId="34" xfId="29" applyNumberFormat="1" applyFont="1" applyFill="1" applyBorder="1"/>
    <xf numFmtId="1" fontId="25" fillId="16" borderId="34" xfId="29" applyNumberFormat="1" applyFont="1" applyFill="1" applyBorder="1"/>
    <xf numFmtId="0" fontId="49" fillId="0" borderId="0" xfId="29" applyFont="1" applyFill="1" applyBorder="1"/>
    <xf numFmtId="2" fontId="25" fillId="4" borderId="0" xfId="29" applyNumberFormat="1" applyFont="1" applyFill="1" applyBorder="1"/>
    <xf numFmtId="167" fontId="25" fillId="0" borderId="0" xfId="29" applyNumberFormat="1" applyFont="1" applyFill="1" applyBorder="1" applyAlignment="1">
      <alignment horizontal="left" indent="1"/>
    </xf>
    <xf numFmtId="167" fontId="25" fillId="13" borderId="0" xfId="29" applyNumberFormat="1" applyFont="1" applyFill="1" applyBorder="1" applyAlignment="1">
      <alignment horizontal="left" indent="1"/>
    </xf>
    <xf numFmtId="167" fontId="25" fillId="8" borderId="0" xfId="29" applyNumberFormat="1" applyFont="1" applyFill="1" applyBorder="1" applyAlignment="1">
      <alignment horizontal="left" indent="1"/>
    </xf>
    <xf numFmtId="167" fontId="25" fillId="16" borderId="0" xfId="29" applyNumberFormat="1" applyFont="1" applyFill="1" applyBorder="1" applyAlignment="1">
      <alignment horizontal="left" indent="1"/>
    </xf>
    <xf numFmtId="167" fontId="25" fillId="17" borderId="0" xfId="29" applyNumberFormat="1" applyFont="1" applyFill="1" applyBorder="1" applyAlignment="1">
      <alignment horizontal="left" indent="1"/>
    </xf>
    <xf numFmtId="0" fontId="42" fillId="17" borderId="0" xfId="29" applyFill="1"/>
    <xf numFmtId="0" fontId="43" fillId="17" borderId="32" xfId="29" applyFont="1" applyFill="1" applyBorder="1"/>
    <xf numFmtId="0" fontId="44" fillId="17" borderId="0" xfId="29" applyFont="1" applyFill="1"/>
    <xf numFmtId="0" fontId="42" fillId="17" borderId="45" xfId="29" applyFill="1" applyBorder="1"/>
    <xf numFmtId="167" fontId="25" fillId="16" borderId="34" xfId="29" applyNumberFormat="1" applyFont="1" applyFill="1" applyBorder="1"/>
    <xf numFmtId="167" fontId="25" fillId="17" borderId="34" xfId="29" applyNumberFormat="1" applyFont="1" applyFill="1" applyBorder="1"/>
    <xf numFmtId="1" fontId="48" fillId="17" borderId="34" xfId="29" applyNumberFormat="1" applyFont="1" applyFill="1" applyBorder="1"/>
    <xf numFmtId="167" fontId="25" fillId="4" borderId="48" xfId="29" applyNumberFormat="1" applyFont="1" applyFill="1" applyBorder="1"/>
    <xf numFmtId="167" fontId="25" fillId="13" borderId="48" xfId="29" applyNumberFormat="1" applyFont="1" applyFill="1" applyBorder="1"/>
    <xf numFmtId="2" fontId="42" fillId="0" borderId="0" xfId="29" applyNumberFormat="1"/>
    <xf numFmtId="0" fontId="9" fillId="0" borderId="0" xfId="31"/>
    <xf numFmtId="0" fontId="9" fillId="0" borderId="1" xfId="31" applyBorder="1"/>
    <xf numFmtId="0" fontId="9" fillId="0" borderId="2" xfId="31" applyBorder="1"/>
    <xf numFmtId="0" fontId="8" fillId="0" borderId="1" xfId="31" applyFont="1" applyBorder="1"/>
    <xf numFmtId="0" fontId="8" fillId="0" borderId="2" xfId="31" applyFont="1" applyBorder="1"/>
    <xf numFmtId="0" fontId="9" fillId="0" borderId="3" xfId="31" applyBorder="1"/>
    <xf numFmtId="0" fontId="9" fillId="0" borderId="0" xfId="31" applyAlignment="1">
      <alignment wrapText="1"/>
    </xf>
    <xf numFmtId="0" fontId="9" fillId="0" borderId="4" xfId="31" applyBorder="1"/>
    <xf numFmtId="0" fontId="9" fillId="0" borderId="0" xfId="31" applyBorder="1"/>
    <xf numFmtId="0" fontId="9" fillId="0" borderId="5" xfId="31" applyBorder="1"/>
    <xf numFmtId="0" fontId="8" fillId="0" borderId="0" xfId="31" applyFont="1"/>
    <xf numFmtId="3" fontId="9" fillId="0" borderId="0" xfId="31" applyNumberFormat="1" applyBorder="1"/>
    <xf numFmtId="3" fontId="9" fillId="0" borderId="4" xfId="31" applyNumberFormat="1" applyBorder="1"/>
    <xf numFmtId="1" fontId="9" fillId="0" borderId="0" xfId="31" applyNumberFormat="1" applyBorder="1"/>
    <xf numFmtId="1" fontId="9" fillId="0" borderId="5" xfId="31" applyNumberFormat="1" applyBorder="1"/>
    <xf numFmtId="4" fontId="9" fillId="0" borderId="0" xfId="31" applyNumberFormat="1" applyBorder="1"/>
    <xf numFmtId="167" fontId="9" fillId="0" borderId="4" xfId="31" applyNumberFormat="1" applyBorder="1"/>
    <xf numFmtId="167" fontId="9" fillId="0" borderId="0" xfId="31" applyNumberFormat="1" applyBorder="1"/>
    <xf numFmtId="167" fontId="9" fillId="0" borderId="5" xfId="31" applyNumberFormat="1" applyBorder="1"/>
    <xf numFmtId="167" fontId="9" fillId="8" borderId="0" xfId="31" applyNumberFormat="1" applyFill="1"/>
    <xf numFmtId="167" fontId="9" fillId="0" borderId="0" xfId="31" applyNumberFormat="1"/>
    <xf numFmtId="0" fontId="9" fillId="8" borderId="0" xfId="31" applyFill="1"/>
    <xf numFmtId="2" fontId="9" fillId="0" borderId="0" xfId="31" applyNumberFormat="1"/>
    <xf numFmtId="0" fontId="9" fillId="6" borderId="4" xfId="31" applyFill="1" applyBorder="1"/>
    <xf numFmtId="4" fontId="9" fillId="6" borderId="0" xfId="31" applyNumberFormat="1" applyFill="1" applyBorder="1"/>
    <xf numFmtId="0" fontId="9" fillId="6" borderId="0" xfId="31" applyFill="1" applyBorder="1"/>
    <xf numFmtId="167" fontId="9" fillId="6" borderId="4" xfId="31" applyNumberFormat="1" applyFill="1" applyBorder="1"/>
    <xf numFmtId="167" fontId="9" fillId="6" borderId="0" xfId="31" applyNumberFormat="1" applyFill="1" applyBorder="1"/>
    <xf numFmtId="167" fontId="9" fillId="6" borderId="5" xfId="31" applyNumberFormat="1" applyFill="1" applyBorder="1"/>
    <xf numFmtId="0" fontId="8" fillId="0" borderId="4" xfId="31" applyFont="1" applyBorder="1"/>
    <xf numFmtId="9" fontId="9" fillId="0" borderId="0" xfId="31" applyNumberFormat="1" applyBorder="1"/>
    <xf numFmtId="9" fontId="9" fillId="0" borderId="5" xfId="31" applyNumberFormat="1" applyBorder="1"/>
    <xf numFmtId="0" fontId="9" fillId="0" borderId="21" xfId="31" applyBorder="1"/>
    <xf numFmtId="0" fontId="9" fillId="0" borderId="19" xfId="31" applyBorder="1"/>
    <xf numFmtId="0" fontId="9" fillId="0" borderId="20" xfId="31" applyBorder="1"/>
    <xf numFmtId="0" fontId="8" fillId="0" borderId="3" xfId="31" applyFont="1" applyBorder="1"/>
    <xf numFmtId="0" fontId="8" fillId="8" borderId="0" xfId="31" applyFont="1" applyFill="1"/>
    <xf numFmtId="167" fontId="8" fillId="0" borderId="0" xfId="31" applyNumberFormat="1" applyFont="1"/>
    <xf numFmtId="4" fontId="9" fillId="0" borderId="19" xfId="31" applyNumberFormat="1" applyBorder="1"/>
    <xf numFmtId="167" fontId="9" fillId="0" borderId="19" xfId="31" applyNumberFormat="1" applyBorder="1"/>
    <xf numFmtId="167" fontId="9" fillId="0" borderId="20" xfId="31" applyNumberFormat="1" applyBorder="1"/>
    <xf numFmtId="0" fontId="9" fillId="8" borderId="2" xfId="31" applyFill="1" applyBorder="1"/>
    <xf numFmtId="167" fontId="9" fillId="0" borderId="2" xfId="31" applyNumberFormat="1" applyBorder="1"/>
    <xf numFmtId="167" fontId="9" fillId="0" borderId="3" xfId="31" applyNumberFormat="1" applyBorder="1"/>
    <xf numFmtId="0" fontId="8" fillId="0" borderId="0" xfId="31" applyFont="1" applyBorder="1"/>
    <xf numFmtId="0" fontId="8" fillId="0" borderId="5" xfId="31" applyFont="1" applyBorder="1"/>
    <xf numFmtId="0" fontId="9" fillId="8" borderId="0" xfId="31" applyFill="1" applyBorder="1"/>
    <xf numFmtId="167" fontId="9" fillId="8" borderId="0" xfId="31" applyNumberFormat="1" applyFill="1" applyBorder="1"/>
    <xf numFmtId="4" fontId="9" fillId="0" borderId="2" xfId="31" applyNumberFormat="1" applyBorder="1"/>
    <xf numFmtId="9" fontId="9" fillId="0" borderId="2" xfId="31" applyNumberFormat="1" applyBorder="1"/>
    <xf numFmtId="0" fontId="53" fillId="0" borderId="0" xfId="31" applyFont="1"/>
    <xf numFmtId="0" fontId="54" fillId="0" borderId="0" xfId="31" applyFont="1"/>
    <xf numFmtId="167" fontId="8" fillId="0" borderId="0" xfId="31" applyNumberFormat="1" applyFont="1" applyBorder="1"/>
    <xf numFmtId="165" fontId="9" fillId="0" borderId="0" xfId="30" applyNumberFormat="1" applyFont="1"/>
    <xf numFmtId="9" fontId="9" fillId="0" borderId="0" xfId="30" applyFont="1"/>
    <xf numFmtId="0" fontId="8" fillId="13" borderId="1" xfId="31" applyFont="1" applyFill="1" applyBorder="1"/>
    <xf numFmtId="0" fontId="9" fillId="13" borderId="2" xfId="31" applyFill="1" applyBorder="1"/>
    <xf numFmtId="0" fontId="9" fillId="13" borderId="3" xfId="31" applyFill="1" applyBorder="1"/>
    <xf numFmtId="0" fontId="53" fillId="0" borderId="0" xfId="31" applyFont="1" applyBorder="1"/>
    <xf numFmtId="4" fontId="8" fillId="0" borderId="0" xfId="31" applyNumberFormat="1" applyFont="1" applyBorder="1"/>
    <xf numFmtId="167" fontId="8" fillId="0" borderId="5" xfId="31" applyNumberFormat="1" applyFont="1" applyBorder="1"/>
    <xf numFmtId="0" fontId="9" fillId="0" borderId="6" xfId="31" applyBorder="1"/>
    <xf numFmtId="167" fontId="8" fillId="0" borderId="7" xfId="31" applyNumberFormat="1" applyFont="1" applyBorder="1"/>
    <xf numFmtId="4" fontId="9" fillId="0" borderId="7" xfId="31" applyNumberFormat="1" applyBorder="1"/>
    <xf numFmtId="4" fontId="8" fillId="0" borderId="7" xfId="31" applyNumberFormat="1" applyFont="1" applyBorder="1"/>
    <xf numFmtId="167" fontId="8" fillId="0" borderId="8" xfId="31" applyNumberFormat="1" applyFont="1" applyBorder="1"/>
    <xf numFmtId="2" fontId="9" fillId="0" borderId="0" xfId="31" applyNumberFormat="1" applyBorder="1"/>
    <xf numFmtId="2" fontId="9" fillId="0" borderId="19" xfId="31" applyNumberFormat="1" applyBorder="1"/>
    <xf numFmtId="2" fontId="9" fillId="0" borderId="20" xfId="31" applyNumberFormat="1" applyBorder="1"/>
    <xf numFmtId="0" fontId="8" fillId="8" borderId="1" xfId="31" applyFont="1" applyFill="1" applyBorder="1"/>
    <xf numFmtId="0" fontId="9" fillId="8" borderId="3" xfId="31" applyFill="1" applyBorder="1"/>
    <xf numFmtId="0" fontId="53" fillId="0" borderId="5" xfId="31" applyFont="1" applyBorder="1"/>
    <xf numFmtId="1" fontId="8" fillId="0" borderId="5" xfId="31" applyNumberFormat="1" applyFont="1" applyBorder="1"/>
    <xf numFmtId="2" fontId="9" fillId="0" borderId="5" xfId="31" applyNumberFormat="1" applyBorder="1"/>
    <xf numFmtId="0" fontId="9" fillId="0" borderId="7" xfId="31" applyBorder="1"/>
    <xf numFmtId="2" fontId="9" fillId="0" borderId="7" xfId="31" applyNumberFormat="1" applyBorder="1"/>
    <xf numFmtId="2" fontId="9" fillId="0" borderId="8" xfId="31" applyNumberFormat="1" applyBorder="1"/>
    <xf numFmtId="0" fontId="8" fillId="17" borderId="1" xfId="31" applyFont="1" applyFill="1" applyBorder="1"/>
    <xf numFmtId="0" fontId="9" fillId="17" borderId="2" xfId="31" applyFill="1" applyBorder="1"/>
    <xf numFmtId="0" fontId="9" fillId="17" borderId="3" xfId="31" applyFill="1" applyBorder="1"/>
    <xf numFmtId="167" fontId="8" fillId="0" borderId="4" xfId="31" applyNumberFormat="1" applyFont="1" applyBorder="1"/>
    <xf numFmtId="167" fontId="9" fillId="0" borderId="8" xfId="31" applyNumberFormat="1" applyBorder="1"/>
    <xf numFmtId="0" fontId="52" fillId="0" borderId="1" xfId="29" applyFont="1" applyBorder="1"/>
    <xf numFmtId="0" fontId="45" fillId="18" borderId="49" xfId="29" applyFont="1" applyFill="1" applyBorder="1"/>
    <xf numFmtId="0" fontId="45" fillId="18" borderId="50" xfId="29" applyFont="1" applyFill="1" applyBorder="1"/>
    <xf numFmtId="0" fontId="45" fillId="18" borderId="3" xfId="29" applyFont="1" applyFill="1" applyBorder="1"/>
    <xf numFmtId="0" fontId="52" fillId="0" borderId="0" xfId="29" applyFont="1"/>
    <xf numFmtId="0" fontId="42" fillId="0" borderId="4" xfId="29" applyBorder="1"/>
    <xf numFmtId="1" fontId="55" fillId="0" borderId="0" xfId="29" applyNumberFormat="1" applyFont="1" applyBorder="1"/>
    <xf numFmtId="1" fontId="49" fillId="0" borderId="0" xfId="29" applyNumberFormat="1" applyFont="1" applyBorder="1"/>
    <xf numFmtId="1" fontId="49" fillId="0" borderId="51" xfId="29" applyNumberFormat="1" applyFont="1" applyBorder="1"/>
    <xf numFmtId="1" fontId="49" fillId="0" borderId="5" xfId="29" applyNumberFormat="1" applyFont="1" applyBorder="1"/>
    <xf numFmtId="0" fontId="42" fillId="0" borderId="21" xfId="29" applyBorder="1"/>
    <xf numFmtId="1" fontId="55" fillId="0" borderId="19" xfId="29" applyNumberFormat="1" applyFont="1" applyBorder="1"/>
    <xf numFmtId="1" fontId="49" fillId="0" borderId="19" xfId="29" applyNumberFormat="1" applyFont="1" applyBorder="1"/>
    <xf numFmtId="1" fontId="49" fillId="0" borderId="52" xfId="29" applyNumberFormat="1" applyFont="1" applyBorder="1"/>
    <xf numFmtId="1" fontId="49" fillId="0" borderId="20" xfId="29" applyNumberFormat="1" applyFont="1" applyBorder="1"/>
    <xf numFmtId="0" fontId="52" fillId="0" borderId="1" xfId="29" applyFont="1" applyFill="1" applyBorder="1"/>
    <xf numFmtId="1" fontId="42" fillId="0" borderId="0" xfId="29" applyNumberFormat="1" applyBorder="1"/>
    <xf numFmtId="1" fontId="42" fillId="0" borderId="5" xfId="29" applyNumberFormat="1" applyBorder="1"/>
    <xf numFmtId="0" fontId="42" fillId="0" borderId="0" xfId="29" applyBorder="1"/>
    <xf numFmtId="0" fontId="42" fillId="0" borderId="5" xfId="29" applyBorder="1"/>
    <xf numFmtId="1" fontId="42" fillId="0" borderId="19" xfId="29" applyNumberFormat="1" applyBorder="1"/>
    <xf numFmtId="1" fontId="42" fillId="0" borderId="20" xfId="29" applyNumberFormat="1" applyBorder="1"/>
    <xf numFmtId="0" fontId="42" fillId="0" borderId="0" xfId="29" applyFill="1" applyBorder="1"/>
    <xf numFmtId="167" fontId="25" fillId="0" borderId="34" xfId="29" applyNumberFormat="1" applyFont="1" applyFill="1" applyBorder="1" applyAlignment="1">
      <alignment horizontal="left"/>
    </xf>
    <xf numFmtId="167" fontId="25" fillId="0" borderId="0" xfId="29" applyNumberFormat="1" applyFont="1" applyFill="1" applyBorder="1" applyAlignment="1">
      <alignment horizontal="left"/>
    </xf>
    <xf numFmtId="0" fontId="52" fillId="13" borderId="1" xfId="29" applyFont="1" applyFill="1" applyBorder="1"/>
    <xf numFmtId="0" fontId="52" fillId="13" borderId="2" xfId="29" applyFont="1" applyFill="1" applyBorder="1"/>
    <xf numFmtId="0" fontId="52" fillId="13" borderId="3" xfId="29" applyFont="1" applyFill="1" applyBorder="1"/>
    <xf numFmtId="167" fontId="25" fillId="0" borderId="37" xfId="29" applyNumberFormat="1" applyFont="1" applyFill="1" applyBorder="1" applyAlignment="1">
      <alignment horizontal="left"/>
    </xf>
    <xf numFmtId="167" fontId="25" fillId="0" borderId="39" xfId="29" applyNumberFormat="1" applyFont="1" applyFill="1" applyBorder="1" applyAlignment="1">
      <alignment horizontal="left"/>
    </xf>
    <xf numFmtId="0" fontId="47" fillId="8" borderId="1" xfId="29" applyFont="1" applyFill="1" applyBorder="1" applyAlignment="1">
      <alignment horizontal="left"/>
    </xf>
    <xf numFmtId="0" fontId="52" fillId="8" borderId="2" xfId="29" applyFont="1" applyFill="1" applyBorder="1"/>
    <xf numFmtId="0" fontId="52" fillId="8" borderId="3" xfId="29" applyFont="1" applyFill="1" applyBorder="1"/>
    <xf numFmtId="167" fontId="25" fillId="0" borderId="4" xfId="29" applyNumberFormat="1" applyFont="1" applyFill="1" applyBorder="1" applyAlignment="1">
      <alignment horizontal="left"/>
    </xf>
    <xf numFmtId="167" fontId="25" fillId="0" borderId="21" xfId="29" applyNumberFormat="1" applyFont="1" applyFill="1" applyBorder="1" applyAlignment="1">
      <alignment horizontal="left"/>
    </xf>
    <xf numFmtId="0" fontId="47" fillId="17" borderId="1" xfId="29" applyFont="1" applyFill="1" applyBorder="1" applyAlignment="1">
      <alignment horizontal="left"/>
    </xf>
    <xf numFmtId="0" fontId="52" fillId="17" borderId="2" xfId="29" applyFont="1" applyFill="1" applyBorder="1"/>
    <xf numFmtId="0" fontId="52" fillId="17" borderId="3" xfId="29" applyFont="1" applyFill="1" applyBorder="1"/>
    <xf numFmtId="0" fontId="56" fillId="18" borderId="53" xfId="29" applyFont="1" applyFill="1" applyBorder="1"/>
    <xf numFmtId="0" fontId="56" fillId="18" borderId="54" xfId="29" applyFont="1" applyFill="1" applyBorder="1"/>
    <xf numFmtId="0" fontId="43" fillId="18" borderId="54" xfId="29" applyFont="1" applyFill="1" applyBorder="1"/>
    <xf numFmtId="0" fontId="42" fillId="0" borderId="0" xfId="29" applyFont="1"/>
    <xf numFmtId="1" fontId="57" fillId="18" borderId="0" xfId="29" applyNumberFormat="1" applyFont="1" applyFill="1" applyBorder="1"/>
    <xf numFmtId="1" fontId="58" fillId="18" borderId="0" xfId="29" applyNumberFormat="1" applyFont="1" applyFill="1" applyBorder="1"/>
    <xf numFmtId="0" fontId="42" fillId="13" borderId="1" xfId="29" applyFill="1" applyBorder="1"/>
    <xf numFmtId="0" fontId="42" fillId="13" borderId="2" xfId="29" applyFill="1" applyBorder="1"/>
    <xf numFmtId="0" fontId="42" fillId="13" borderId="3" xfId="29" applyFill="1" applyBorder="1"/>
    <xf numFmtId="0" fontId="42" fillId="0" borderId="4" xfId="29" applyFill="1" applyBorder="1"/>
    <xf numFmtId="0" fontId="25" fillId="0" borderId="0" xfId="29" applyFont="1" applyFill="1" applyBorder="1"/>
    <xf numFmtId="0" fontId="24" fillId="0" borderId="32" xfId="29" applyFont="1" applyFill="1" applyBorder="1"/>
    <xf numFmtId="0" fontId="45" fillId="0" borderId="32" xfId="29" applyFont="1" applyFill="1" applyBorder="1"/>
    <xf numFmtId="0" fontId="45" fillId="0" borderId="35" xfId="29" applyFont="1" applyFill="1" applyBorder="1"/>
    <xf numFmtId="0" fontId="42" fillId="0" borderId="5" xfId="29" applyFill="1" applyBorder="1"/>
    <xf numFmtId="0" fontId="42" fillId="0" borderId="0" xfId="29" applyFill="1"/>
    <xf numFmtId="1" fontId="46" fillId="14" borderId="55" xfId="29" applyNumberFormat="1" applyFont="1" applyFill="1" applyBorder="1"/>
    <xf numFmtId="1" fontId="47" fillId="15" borderId="55" xfId="29" applyNumberFormat="1" applyFont="1" applyFill="1" applyBorder="1"/>
    <xf numFmtId="0" fontId="25" fillId="0" borderId="0" xfId="29" applyFont="1" applyBorder="1" applyAlignment="1">
      <alignment horizontal="left" indent="2"/>
    </xf>
    <xf numFmtId="0" fontId="42" fillId="0" borderId="56" xfId="29" applyBorder="1"/>
    <xf numFmtId="0" fontId="25" fillId="0" borderId="0" xfId="29" applyFont="1" applyBorder="1" applyAlignment="1">
      <alignment horizontal="left" indent="3"/>
    </xf>
    <xf numFmtId="10" fontId="42" fillId="0" borderId="56" xfId="29" applyNumberFormat="1" applyBorder="1"/>
    <xf numFmtId="9" fontId="42" fillId="0" borderId="56" xfId="29" applyNumberFormat="1" applyBorder="1"/>
    <xf numFmtId="167" fontId="25" fillId="0" borderId="33" xfId="29" applyNumberFormat="1" applyFont="1" applyFill="1" applyBorder="1" applyAlignment="1">
      <alignment horizontal="left" indent="3"/>
    </xf>
    <xf numFmtId="0" fontId="25" fillId="0" borderId="0" xfId="29" applyFont="1" applyBorder="1"/>
    <xf numFmtId="167" fontId="48" fillId="0" borderId="34" xfId="29" applyNumberFormat="1" applyFont="1" applyFill="1" applyBorder="1"/>
    <xf numFmtId="167" fontId="25" fillId="0" borderId="57" xfId="29" applyNumberFormat="1" applyFont="1" applyFill="1" applyBorder="1" applyAlignment="1">
      <alignment horizontal="left" indent="3"/>
    </xf>
    <xf numFmtId="0" fontId="25" fillId="0" borderId="19" xfId="29" applyFont="1" applyBorder="1"/>
    <xf numFmtId="0" fontId="42" fillId="0" borderId="20" xfId="29" applyBorder="1"/>
    <xf numFmtId="0" fontId="42" fillId="8" borderId="1" xfId="29" applyFill="1" applyBorder="1"/>
    <xf numFmtId="0" fontId="42" fillId="8" borderId="2" xfId="29" applyFill="1" applyBorder="1"/>
    <xf numFmtId="0" fontId="42" fillId="8" borderId="3" xfId="29" applyFill="1" applyBorder="1"/>
    <xf numFmtId="0" fontId="42" fillId="17" borderId="1" xfId="29" applyFill="1" applyBorder="1"/>
    <xf numFmtId="0" fontId="42" fillId="17" borderId="2" xfId="29" applyFill="1" applyBorder="1"/>
    <xf numFmtId="0" fontId="42" fillId="17" borderId="3" xfId="29" applyFill="1" applyBorder="1"/>
    <xf numFmtId="167" fontId="27" fillId="4" borderId="34" xfId="26" applyNumberFormat="1" applyFont="1" applyFill="1" applyBorder="1"/>
    <xf numFmtId="167" fontId="60" fillId="4" borderId="34" xfId="26" applyNumberFormat="1" applyFont="1" applyFill="1" applyBorder="1"/>
    <xf numFmtId="0" fontId="6" fillId="13" borderId="0" xfId="26" applyFill="1" applyBorder="1"/>
    <xf numFmtId="167" fontId="25" fillId="17" borderId="34" xfId="26" applyNumberFormat="1" applyFont="1" applyFill="1" applyBorder="1"/>
    <xf numFmtId="0" fontId="6" fillId="17" borderId="0" xfId="26" applyFill="1" applyBorder="1"/>
    <xf numFmtId="0" fontId="6" fillId="6" borderId="33" xfId="26" applyFill="1" applyBorder="1"/>
    <xf numFmtId="3" fontId="25" fillId="6" borderId="0" xfId="26" applyNumberFormat="1" applyFont="1" applyFill="1" applyBorder="1"/>
    <xf numFmtId="0" fontId="25" fillId="6" borderId="0" xfId="26" applyFont="1" applyFill="1" applyBorder="1"/>
    <xf numFmtId="0" fontId="26" fillId="6" borderId="0" xfId="26" applyFont="1" applyFill="1" applyBorder="1" applyAlignment="1">
      <alignment vertical="center"/>
    </xf>
    <xf numFmtId="167" fontId="27" fillId="6" borderId="59" xfId="26" applyNumberFormat="1" applyFont="1" applyFill="1" applyBorder="1" applyAlignment="1">
      <alignment horizontal="right" indent="1"/>
    </xf>
    <xf numFmtId="167" fontId="27" fillId="6" borderId="59" xfId="26" applyNumberFormat="1" applyFont="1" applyFill="1" applyBorder="1"/>
    <xf numFmtId="3" fontId="39" fillId="6" borderId="59" xfId="26" applyNumberFormat="1" applyFont="1" applyFill="1" applyBorder="1"/>
    <xf numFmtId="167" fontId="27" fillId="6" borderId="60" xfId="26" applyNumberFormat="1" applyFont="1" applyFill="1" applyBorder="1"/>
    <xf numFmtId="168" fontId="27" fillId="6" borderId="59" xfId="26" applyNumberFormat="1" applyFont="1" applyFill="1" applyBorder="1"/>
    <xf numFmtId="168" fontId="27" fillId="6" borderId="61" xfId="26" applyNumberFormat="1" applyFont="1" applyFill="1" applyBorder="1"/>
    <xf numFmtId="167" fontId="29" fillId="4" borderId="59" xfId="26" applyNumberFormat="1" applyFont="1" applyFill="1" applyBorder="1" applyAlignment="1">
      <alignment horizontal="right" indent="1"/>
    </xf>
    <xf numFmtId="3" fontId="30" fillId="4" borderId="59" xfId="26" applyNumberFormat="1" applyFont="1" applyFill="1" applyBorder="1"/>
    <xf numFmtId="3" fontId="38" fillId="6" borderId="59" xfId="26" applyNumberFormat="1" applyFont="1" applyFill="1" applyBorder="1"/>
    <xf numFmtId="167" fontId="25" fillId="4" borderId="59" xfId="26" applyNumberFormat="1" applyFont="1" applyFill="1" applyBorder="1"/>
    <xf numFmtId="168" fontId="25" fillId="4" borderId="59" xfId="26" applyNumberFormat="1" applyFont="1" applyFill="1" applyBorder="1"/>
    <xf numFmtId="0" fontId="6" fillId="6" borderId="63" xfId="26" applyFill="1" applyBorder="1"/>
    <xf numFmtId="167" fontId="60" fillId="6" borderId="64" xfId="26" applyNumberFormat="1" applyFont="1" applyFill="1" applyBorder="1"/>
    <xf numFmtId="3" fontId="25" fillId="6" borderId="42" xfId="26" applyNumberFormat="1" applyFont="1" applyFill="1" applyBorder="1"/>
    <xf numFmtId="0" fontId="25" fillId="6" borderId="42" xfId="26" applyFont="1" applyFill="1" applyBorder="1"/>
    <xf numFmtId="0" fontId="26" fillId="6" borderId="42" xfId="26" applyFont="1" applyFill="1" applyBorder="1" applyAlignment="1">
      <alignment vertical="center"/>
    </xf>
    <xf numFmtId="0" fontId="6" fillId="6" borderId="42" xfId="26" applyFill="1" applyBorder="1"/>
    <xf numFmtId="167" fontId="27" fillId="6" borderId="64" xfId="26" applyNumberFormat="1" applyFont="1" applyFill="1" applyBorder="1"/>
    <xf numFmtId="1" fontId="25" fillId="4" borderId="34" xfId="26" applyNumberFormat="1" applyFont="1" applyFill="1" applyBorder="1"/>
    <xf numFmtId="3" fontId="46" fillId="14" borderId="34" xfId="29" applyNumberFormat="1" applyFont="1" applyFill="1" applyBorder="1" applyAlignment="1">
      <alignment vertical="center"/>
    </xf>
    <xf numFmtId="3" fontId="47" fillId="15" borderId="34" xfId="29" applyNumberFormat="1" applyFont="1" applyFill="1" applyBorder="1" applyAlignment="1">
      <alignment vertical="center"/>
    </xf>
    <xf numFmtId="3" fontId="25" fillId="0" borderId="34" xfId="29" applyNumberFormat="1" applyFont="1" applyFill="1" applyBorder="1" applyAlignment="1">
      <alignment vertical="center"/>
    </xf>
    <xf numFmtId="3" fontId="25" fillId="0" borderId="0" xfId="29" applyNumberFormat="1" applyFont="1" applyAlignment="1">
      <alignment vertical="center"/>
    </xf>
    <xf numFmtId="3" fontId="25" fillId="0" borderId="0" xfId="29" applyNumberFormat="1" applyFont="1" applyFill="1" applyBorder="1" applyAlignment="1">
      <alignment vertical="center"/>
    </xf>
    <xf numFmtId="0" fontId="23" fillId="13" borderId="0" xfId="26" applyFont="1" applyFill="1" applyBorder="1"/>
    <xf numFmtId="0" fontId="22" fillId="17" borderId="0" xfId="26" applyFont="1" applyFill="1" applyBorder="1"/>
    <xf numFmtId="0" fontId="23" fillId="17" borderId="0" xfId="26" applyFont="1" applyFill="1" applyBorder="1"/>
    <xf numFmtId="0" fontId="6" fillId="8" borderId="0" xfId="26" applyFill="1" applyBorder="1"/>
    <xf numFmtId="0" fontId="22" fillId="8" borderId="0" xfId="26" applyFont="1" applyFill="1" applyBorder="1"/>
    <xf numFmtId="0" fontId="22" fillId="13" borderId="0" xfId="26" applyFont="1" applyFill="1" applyBorder="1"/>
    <xf numFmtId="1" fontId="47" fillId="17" borderId="34" xfId="29" applyNumberFormat="1" applyFont="1" applyFill="1" applyBorder="1"/>
    <xf numFmtId="0" fontId="33" fillId="17" borderId="0" xfId="26" applyFont="1" applyFill="1" applyBorder="1" applyAlignment="1">
      <alignment wrapText="1"/>
    </xf>
    <xf numFmtId="0" fontId="61" fillId="17" borderId="0" xfId="26" applyFont="1" applyFill="1" applyBorder="1" applyAlignment="1">
      <alignment wrapText="1"/>
    </xf>
    <xf numFmtId="167" fontId="61" fillId="17" borderId="34" xfId="26" applyNumberFormat="1" applyFont="1" applyFill="1" applyBorder="1" applyAlignment="1">
      <alignment wrapText="1"/>
    </xf>
    <xf numFmtId="3" fontId="27" fillId="17" borderId="34" xfId="29" applyNumberFormat="1" applyFont="1" applyFill="1" applyBorder="1"/>
    <xf numFmtId="3" fontId="60" fillId="17" borderId="34" xfId="29" applyNumberFormat="1" applyFont="1" applyFill="1" applyBorder="1"/>
    <xf numFmtId="3" fontId="60" fillId="17" borderId="34" xfId="26" applyNumberFormat="1" applyFont="1" applyFill="1" applyBorder="1"/>
    <xf numFmtId="3" fontId="25" fillId="4" borderId="34" xfId="26" applyNumberFormat="1" applyFont="1" applyFill="1" applyBorder="1" applyAlignment="1"/>
    <xf numFmtId="167" fontId="29" fillId="4" borderId="34" xfId="26" applyNumberFormat="1" applyFont="1" applyFill="1" applyBorder="1" applyAlignment="1">
      <alignment horizontal="left" indent="1"/>
    </xf>
    <xf numFmtId="3" fontId="29" fillId="4" borderId="34" xfId="26" applyNumberFormat="1" applyFont="1" applyFill="1" applyBorder="1" applyAlignment="1"/>
    <xf numFmtId="167" fontId="29" fillId="4" borderId="34" xfId="29" applyNumberFormat="1" applyFont="1" applyFill="1" applyBorder="1"/>
    <xf numFmtId="0" fontId="62" fillId="0" borderId="0" xfId="29" applyFont="1"/>
    <xf numFmtId="167" fontId="29" fillId="0" borderId="0" xfId="29" applyNumberFormat="1" applyFont="1" applyFill="1" applyBorder="1" applyAlignment="1">
      <alignment horizontal="left" indent="1"/>
    </xf>
    <xf numFmtId="0" fontId="63" fillId="4" borderId="0" xfId="26" applyFont="1" applyFill="1" applyBorder="1"/>
    <xf numFmtId="167" fontId="30" fillId="4" borderId="34" xfId="26" applyNumberFormat="1" applyFont="1" applyFill="1" applyBorder="1"/>
    <xf numFmtId="3" fontId="30" fillId="4" borderId="34" xfId="26" applyNumberFormat="1" applyFont="1" applyFill="1" applyBorder="1" applyAlignment="1"/>
    <xf numFmtId="1" fontId="38" fillId="4" borderId="34" xfId="29" applyNumberFormat="1" applyFont="1" applyFill="1" applyBorder="1"/>
    <xf numFmtId="167" fontId="30" fillId="0" borderId="0" xfId="29" applyNumberFormat="1" applyFont="1" applyFill="1" applyBorder="1" applyAlignment="1">
      <alignment horizontal="left" indent="1"/>
    </xf>
    <xf numFmtId="0" fontId="16" fillId="6" borderId="0" xfId="34" applyFill="1"/>
    <xf numFmtId="0" fontId="16" fillId="0" borderId="0" xfId="34"/>
    <xf numFmtId="0" fontId="35" fillId="0" borderId="1" xfId="34" applyFont="1" applyBorder="1"/>
    <xf numFmtId="0" fontId="67" fillId="0" borderId="2" xfId="34" applyFont="1" applyBorder="1"/>
    <xf numFmtId="0" fontId="35" fillId="0" borderId="3" xfId="34" applyFont="1" applyBorder="1"/>
    <xf numFmtId="0" fontId="35" fillId="0" borderId="42" xfId="34" applyFont="1" applyBorder="1"/>
    <xf numFmtId="0" fontId="33" fillId="21" borderId="43" xfId="34" applyFont="1" applyFill="1" applyBorder="1" applyAlignment="1">
      <alignment horizontal="center" vertical="center" wrapText="1"/>
    </xf>
    <xf numFmtId="0" fontId="66" fillId="22" borderId="1" xfId="34" applyFont="1" applyFill="1" applyBorder="1" applyAlignment="1">
      <alignment horizontal="center" wrapText="1"/>
    </xf>
    <xf numFmtId="0" fontId="66" fillId="0" borderId="3" xfId="34" applyFont="1" applyBorder="1" applyAlignment="1">
      <alignment horizontal="center" wrapText="1"/>
    </xf>
    <xf numFmtId="0" fontId="68" fillId="0" borderId="2" xfId="34" applyFont="1" applyBorder="1"/>
    <xf numFmtId="1" fontId="69" fillId="21" borderId="29" xfId="34" applyNumberFormat="1" applyFont="1" applyFill="1" applyBorder="1" applyAlignment="1">
      <alignment horizontal="right"/>
    </xf>
    <xf numFmtId="0" fontId="67" fillId="6" borderId="58" xfId="34" applyFont="1" applyFill="1" applyBorder="1" applyAlignment="1">
      <alignment wrapText="1"/>
    </xf>
    <xf numFmtId="0" fontId="67" fillId="0" borderId="58" xfId="34" applyFont="1" applyBorder="1" applyAlignment="1">
      <alignment wrapText="1"/>
    </xf>
    <xf numFmtId="49" fontId="67" fillId="0" borderId="42" xfId="34" applyNumberFormat="1" applyFont="1" applyBorder="1" applyAlignment="1">
      <alignment wrapText="1"/>
    </xf>
    <xf numFmtId="0" fontId="67" fillId="0" borderId="42" xfId="34" applyFont="1" applyBorder="1" applyAlignment="1">
      <alignment wrapText="1"/>
    </xf>
    <xf numFmtId="0" fontId="66" fillId="22" borderId="46" xfId="34" applyFont="1" applyFill="1" applyBorder="1"/>
    <xf numFmtId="0" fontId="40" fillId="6" borderId="58" xfId="34" applyFont="1" applyFill="1" applyBorder="1" applyAlignment="1">
      <alignment wrapText="1"/>
    </xf>
    <xf numFmtId="0" fontId="40" fillId="0" borderId="58" xfId="34" applyFont="1" applyBorder="1" applyAlignment="1">
      <alignment wrapText="1"/>
    </xf>
    <xf numFmtId="49" fontId="40" fillId="0" borderId="42" xfId="34" applyNumberFormat="1" applyFont="1" applyBorder="1" applyAlignment="1">
      <alignment wrapText="1"/>
    </xf>
    <xf numFmtId="0" fontId="66" fillId="0" borderId="65" xfId="34" applyFont="1" applyBorder="1"/>
    <xf numFmtId="0" fontId="66" fillId="0" borderId="65" xfId="34" applyFont="1" applyBorder="1" applyAlignment="1">
      <alignment wrapText="1"/>
    </xf>
    <xf numFmtId="0" fontId="68" fillId="0" borderId="19" xfId="34" applyFont="1" applyBorder="1"/>
    <xf numFmtId="167" fontId="69" fillId="20" borderId="70" xfId="34" applyNumberFormat="1" applyFont="1" applyFill="1" applyBorder="1" applyAlignment="1">
      <alignment horizontal="center"/>
    </xf>
    <xf numFmtId="0" fontId="35" fillId="6" borderId="44" xfId="34" applyFont="1" applyFill="1" applyBorder="1"/>
    <xf numFmtId="0" fontId="35" fillId="0" borderId="44" xfId="34" applyFont="1" applyBorder="1"/>
    <xf numFmtId="0" fontId="35" fillId="0" borderId="71" xfId="34" applyFont="1" applyBorder="1"/>
    <xf numFmtId="0" fontId="16" fillId="22" borderId="6" xfId="34" applyFill="1" applyBorder="1"/>
    <xf numFmtId="0" fontId="16" fillId="6" borderId="4" xfId="34" applyFill="1" applyBorder="1"/>
    <xf numFmtId="0" fontId="16" fillId="0" borderId="0" xfId="34" applyBorder="1"/>
    <xf numFmtId="0" fontId="35" fillId="0" borderId="56" xfId="34" applyFont="1" applyBorder="1"/>
    <xf numFmtId="0" fontId="35" fillId="0" borderId="8" xfId="34" applyFont="1" applyBorder="1"/>
    <xf numFmtId="49" fontId="35" fillId="0" borderId="72" xfId="34" applyNumberFormat="1" applyFont="1" applyBorder="1" applyAlignment="1">
      <alignment horizontal="left"/>
    </xf>
    <xf numFmtId="1" fontId="35" fillId="0" borderId="23" xfId="34" applyNumberFormat="1" applyFont="1" applyBorder="1"/>
    <xf numFmtId="1" fontId="67" fillId="0" borderId="72" xfId="34" applyNumberFormat="1" applyFont="1" applyBorder="1" applyAlignment="1">
      <alignment horizontal="right"/>
    </xf>
    <xf numFmtId="0" fontId="35" fillId="0" borderId="0" xfId="34" applyFont="1" applyBorder="1"/>
    <xf numFmtId="167" fontId="33" fillId="21" borderId="71" xfId="34" applyNumberFormat="1" applyFont="1" applyFill="1" applyBorder="1" applyAlignment="1">
      <alignment horizontal="center"/>
    </xf>
    <xf numFmtId="3" fontId="35" fillId="6" borderId="23" xfId="34" applyNumberFormat="1" applyFont="1" applyFill="1" applyBorder="1"/>
    <xf numFmtId="3" fontId="35" fillId="0" borderId="23" xfId="34" applyNumberFormat="1" applyFont="1" applyBorder="1"/>
    <xf numFmtId="3" fontId="35" fillId="19" borderId="73" xfId="34" applyNumberFormat="1" applyFont="1" applyFill="1" applyBorder="1"/>
    <xf numFmtId="9" fontId="35" fillId="22" borderId="74" xfId="35" applyNumberFormat="1" applyFont="1" applyFill="1" applyBorder="1"/>
    <xf numFmtId="3" fontId="16" fillId="6" borderId="22" xfId="34" applyNumberFormat="1" applyFill="1" applyBorder="1"/>
    <xf numFmtId="3" fontId="16" fillId="0" borderId="23" xfId="34" applyNumberFormat="1" applyBorder="1"/>
    <xf numFmtId="3" fontId="16" fillId="0" borderId="73" xfId="34" applyNumberFormat="1" applyBorder="1"/>
    <xf numFmtId="1" fontId="35" fillId="0" borderId="24" xfId="34" applyNumberFormat="1" applyFont="1" applyBorder="1"/>
    <xf numFmtId="1" fontId="35" fillId="0" borderId="23" xfId="34" applyNumberFormat="1" applyFont="1" applyBorder="1" applyAlignment="1">
      <alignment horizontal="right"/>
    </xf>
    <xf numFmtId="9" fontId="35" fillId="22" borderId="74" xfId="34" applyNumberFormat="1" applyFont="1" applyFill="1" applyBorder="1"/>
    <xf numFmtId="167" fontId="35" fillId="0" borderId="24" xfId="34" applyNumberFormat="1" applyFont="1" applyBorder="1"/>
    <xf numFmtId="167" fontId="33" fillId="21" borderId="73" xfId="34" applyNumberFormat="1" applyFont="1" applyFill="1" applyBorder="1" applyAlignment="1">
      <alignment horizontal="center"/>
    </xf>
    <xf numFmtId="0" fontId="35" fillId="0" borderId="72" xfId="34" applyFont="1" applyBorder="1" applyAlignment="1">
      <alignment horizontal="left"/>
    </xf>
    <xf numFmtId="1" fontId="35" fillId="0" borderId="30" xfId="34" applyNumberFormat="1" applyFont="1" applyBorder="1"/>
    <xf numFmtId="1" fontId="67" fillId="0" borderId="69" xfId="34" applyNumberFormat="1" applyFont="1" applyBorder="1" applyAlignment="1">
      <alignment horizontal="right"/>
    </xf>
    <xf numFmtId="0" fontId="35" fillId="0" borderId="19" xfId="34" applyFont="1" applyBorder="1"/>
    <xf numFmtId="0" fontId="67" fillId="6" borderId="21" xfId="34" applyFont="1" applyFill="1" applyBorder="1" applyAlignment="1">
      <alignment horizontal="right"/>
    </xf>
    <xf numFmtId="0" fontId="35" fillId="6" borderId="42" xfId="34" applyFont="1" applyFill="1" applyBorder="1"/>
    <xf numFmtId="1" fontId="67" fillId="6" borderId="46" xfId="34" applyNumberFormat="1" applyFont="1" applyFill="1" applyBorder="1"/>
    <xf numFmtId="0" fontId="67" fillId="6" borderId="42" xfId="34" applyFont="1" applyFill="1" applyBorder="1"/>
    <xf numFmtId="167" fontId="67" fillId="6" borderId="58" xfId="34" applyNumberFormat="1" applyFont="1" applyFill="1" applyBorder="1" applyAlignment="1">
      <alignment horizontal="center" vertical="center"/>
    </xf>
    <xf numFmtId="3" fontId="35" fillId="6" borderId="0" xfId="34" applyNumberFormat="1" applyFont="1" applyFill="1"/>
    <xf numFmtId="9" fontId="16" fillId="6" borderId="74" xfId="34" applyNumberFormat="1" applyFill="1" applyBorder="1"/>
    <xf numFmtId="3" fontId="16" fillId="6" borderId="23" xfId="34" applyNumberFormat="1" applyFill="1" applyBorder="1"/>
    <xf numFmtId="3" fontId="16" fillId="6" borderId="73" xfId="34" applyNumberFormat="1" applyFill="1" applyBorder="1"/>
    <xf numFmtId="167" fontId="35" fillId="6" borderId="24" xfId="34" applyNumberFormat="1" applyFont="1" applyFill="1" applyBorder="1"/>
    <xf numFmtId="0" fontId="16" fillId="0" borderId="0" xfId="34" applyAlignment="1">
      <alignment horizontal="center" vertical="center"/>
    </xf>
    <xf numFmtId="3" fontId="35" fillId="0" borderId="0" xfId="34" applyNumberFormat="1" applyFont="1"/>
    <xf numFmtId="9" fontId="16" fillId="22" borderId="74" xfId="34" applyNumberFormat="1" applyFill="1" applyBorder="1"/>
    <xf numFmtId="0" fontId="33" fillId="21" borderId="76" xfId="34" applyFont="1" applyFill="1" applyBorder="1" applyAlignment="1">
      <alignment horizontal="center" vertical="center" wrapText="1"/>
    </xf>
    <xf numFmtId="3" fontId="67" fillId="6" borderId="23" xfId="34" applyNumberFormat="1" applyFont="1" applyFill="1" applyBorder="1" applyAlignment="1">
      <alignment wrapText="1"/>
    </xf>
    <xf numFmtId="3" fontId="67" fillId="0" borderId="23" xfId="34" applyNumberFormat="1" applyFont="1" applyBorder="1" applyAlignment="1">
      <alignment wrapText="1"/>
    </xf>
    <xf numFmtId="3" fontId="67" fillId="0" borderId="73" xfId="34" applyNumberFormat="1" applyFont="1" applyBorder="1" applyAlignment="1">
      <alignment wrapText="1"/>
    </xf>
    <xf numFmtId="3" fontId="35" fillId="0" borderId="23" xfId="34" applyNumberFormat="1" applyFont="1" applyBorder="1" applyAlignment="1">
      <alignment wrapText="1"/>
    </xf>
    <xf numFmtId="1" fontId="69" fillId="21" borderId="77" xfId="34" applyNumberFormat="1" applyFont="1" applyFill="1" applyBorder="1" applyAlignment="1">
      <alignment horizontal="right"/>
    </xf>
    <xf numFmtId="3" fontId="35" fillId="0" borderId="73" xfId="34" applyNumberFormat="1" applyFont="1" applyBorder="1"/>
    <xf numFmtId="0" fontId="68" fillId="20" borderId="78" xfId="34" applyFont="1" applyFill="1" applyBorder="1" applyAlignment="1">
      <alignment horizontal="left"/>
    </xf>
    <xf numFmtId="1" fontId="68" fillId="20" borderId="23" xfId="34" applyNumberFormat="1" applyFont="1" applyFill="1" applyBorder="1"/>
    <xf numFmtId="1" fontId="68" fillId="20" borderId="72" xfId="34" applyNumberFormat="1" applyFont="1" applyFill="1" applyBorder="1" applyAlignment="1">
      <alignment horizontal="right"/>
    </xf>
    <xf numFmtId="0" fontId="35" fillId="0" borderId="78" xfId="34" applyFont="1" applyBorder="1" applyAlignment="1">
      <alignment horizontal="left"/>
    </xf>
    <xf numFmtId="0" fontId="35" fillId="4" borderId="72" xfId="34" applyNumberFormat="1" applyFont="1" applyFill="1" applyBorder="1" applyAlignment="1">
      <alignment horizontal="left"/>
    </xf>
    <xf numFmtId="1" fontId="35" fillId="4" borderId="23" xfId="34" applyNumberFormat="1" applyFont="1" applyFill="1" applyBorder="1" applyAlignment="1">
      <alignment horizontal="right"/>
    </xf>
    <xf numFmtId="1" fontId="67" fillId="4" borderId="72" xfId="34" applyNumberFormat="1" applyFont="1" applyFill="1" applyBorder="1" applyAlignment="1">
      <alignment horizontal="right"/>
    </xf>
    <xf numFmtId="0" fontId="35" fillId="23" borderId="72" xfId="34" applyNumberFormat="1" applyFont="1" applyFill="1" applyBorder="1" applyAlignment="1">
      <alignment horizontal="left"/>
    </xf>
    <xf numFmtId="1" fontId="35" fillId="23" borderId="23" xfId="34" applyNumberFormat="1" applyFont="1" applyFill="1" applyBorder="1" applyAlignment="1">
      <alignment horizontal="right"/>
    </xf>
    <xf numFmtId="1" fontId="67" fillId="23" borderId="72" xfId="34" applyNumberFormat="1" applyFont="1" applyFill="1" applyBorder="1" applyAlignment="1">
      <alignment horizontal="right"/>
    </xf>
    <xf numFmtId="0" fontId="35" fillId="0" borderId="78" xfId="34" applyFont="1" applyFill="1" applyBorder="1" applyAlignment="1">
      <alignment horizontal="left"/>
    </xf>
    <xf numFmtId="1" fontId="35" fillId="0" borderId="23" xfId="34" applyNumberFormat="1" applyFont="1" applyFill="1" applyBorder="1" applyAlignment="1">
      <alignment horizontal="right"/>
    </xf>
    <xf numFmtId="1" fontId="67" fillId="0" borderId="72" xfId="34" applyNumberFormat="1" applyFont="1" applyFill="1" applyBorder="1" applyAlignment="1">
      <alignment horizontal="right"/>
    </xf>
    <xf numFmtId="0" fontId="35" fillId="0" borderId="72" xfId="34" applyFont="1" applyFill="1" applyBorder="1" applyAlignment="1">
      <alignment horizontal="left"/>
    </xf>
    <xf numFmtId="0" fontId="67" fillId="0" borderId="0" xfId="34" applyFont="1" applyBorder="1"/>
    <xf numFmtId="0" fontId="35" fillId="0" borderId="21" xfId="34" applyFont="1" applyBorder="1" applyAlignment="1">
      <alignment horizontal="left"/>
    </xf>
    <xf numFmtId="0" fontId="67" fillId="6" borderId="46" xfId="34" applyFont="1" applyFill="1" applyBorder="1" applyAlignment="1">
      <alignment horizontal="right"/>
    </xf>
    <xf numFmtId="1" fontId="67" fillId="6" borderId="58" xfId="34" applyNumberFormat="1" applyFont="1" applyFill="1" applyBorder="1"/>
    <xf numFmtId="167" fontId="67" fillId="6" borderId="43" xfId="34" applyNumberFormat="1" applyFont="1" applyFill="1" applyBorder="1" applyAlignment="1">
      <alignment horizontal="center" vertical="center"/>
    </xf>
    <xf numFmtId="0" fontId="35" fillId="0" borderId="42" xfId="34" applyFont="1" applyBorder="1" applyAlignment="1">
      <alignment wrapText="1"/>
    </xf>
    <xf numFmtId="0" fontId="68" fillId="20" borderId="79" xfId="34" applyFont="1" applyFill="1" applyBorder="1" applyAlignment="1">
      <alignment horizontal="left"/>
    </xf>
    <xf numFmtId="0" fontId="35" fillId="0" borderId="68" xfId="34" applyFont="1" applyBorder="1" applyAlignment="1">
      <alignment horizontal="left"/>
    </xf>
    <xf numFmtId="1" fontId="35" fillId="0" borderId="69" xfId="34" applyNumberFormat="1" applyFont="1" applyBorder="1" applyAlignment="1">
      <alignment horizontal="right"/>
    </xf>
    <xf numFmtId="0" fontId="67" fillId="6" borderId="46" xfId="34" applyFont="1" applyFill="1" applyBorder="1"/>
    <xf numFmtId="1" fontId="67" fillId="6" borderId="42" xfId="34" applyNumberFormat="1" applyFont="1" applyFill="1" applyBorder="1"/>
    <xf numFmtId="167" fontId="67" fillId="6" borderId="65" xfId="34" applyNumberFormat="1" applyFont="1" applyFill="1" applyBorder="1" applyAlignment="1">
      <alignment horizontal="center" vertical="center"/>
    </xf>
    <xf numFmtId="0" fontId="35" fillId="6" borderId="24" xfId="34" applyFont="1" applyFill="1" applyBorder="1"/>
    <xf numFmtId="0" fontId="35" fillId="0" borderId="24" xfId="34" applyFont="1" applyBorder="1"/>
    <xf numFmtId="3" fontId="67" fillId="6" borderId="23" xfId="34" applyNumberFormat="1" applyFont="1" applyFill="1" applyBorder="1"/>
    <xf numFmtId="3" fontId="67" fillId="0" borderId="23" xfId="34" applyNumberFormat="1" applyFont="1" applyBorder="1"/>
    <xf numFmtId="49" fontId="67" fillId="0" borderId="23" xfId="34" applyNumberFormat="1" applyFont="1" applyBorder="1" applyAlignment="1">
      <alignment wrapText="1"/>
    </xf>
    <xf numFmtId="1" fontId="68" fillId="20" borderId="77" xfId="34" applyNumberFormat="1" applyFont="1" applyFill="1" applyBorder="1" applyAlignment="1">
      <alignment horizontal="right"/>
    </xf>
    <xf numFmtId="167" fontId="68" fillId="20" borderId="70" xfId="34" applyNumberFormat="1" applyFont="1" applyFill="1" applyBorder="1" applyAlignment="1">
      <alignment horizontal="center"/>
    </xf>
    <xf numFmtId="0" fontId="35" fillId="0" borderId="79" xfId="34" applyFont="1" applyBorder="1" applyAlignment="1">
      <alignment horizontal="left"/>
    </xf>
    <xf numFmtId="0" fontId="35" fillId="0" borderId="69" xfId="34" applyFont="1" applyFill="1" applyBorder="1" applyAlignment="1">
      <alignment horizontal="left"/>
    </xf>
    <xf numFmtId="1" fontId="35" fillId="0" borderId="30" xfId="34" applyNumberFormat="1" applyFont="1" applyFill="1" applyBorder="1" applyAlignment="1">
      <alignment horizontal="right"/>
    </xf>
    <xf numFmtId="1" fontId="67" fillId="0" borderId="69" xfId="34" applyNumberFormat="1" applyFont="1" applyFill="1" applyBorder="1" applyAlignment="1">
      <alignment horizontal="right"/>
    </xf>
    <xf numFmtId="0" fontId="67" fillId="6" borderId="58" xfId="34" applyFont="1" applyFill="1" applyBorder="1"/>
    <xf numFmtId="167" fontId="67" fillId="6" borderId="58" xfId="34" applyNumberFormat="1" applyFont="1" applyFill="1" applyBorder="1" applyAlignment="1">
      <alignment horizontal="center"/>
    </xf>
    <xf numFmtId="0" fontId="35" fillId="0" borderId="79" xfId="34" applyFont="1" applyFill="1" applyBorder="1" applyAlignment="1">
      <alignment horizontal="left"/>
    </xf>
    <xf numFmtId="0" fontId="35" fillId="0" borderId="4" xfId="34" applyFont="1" applyBorder="1" applyAlignment="1">
      <alignment horizontal="left"/>
    </xf>
    <xf numFmtId="9" fontId="35" fillId="22" borderId="80" xfId="34" applyNumberFormat="1" applyFont="1" applyFill="1" applyBorder="1"/>
    <xf numFmtId="3" fontId="16" fillId="6" borderId="9" xfId="34" applyNumberFormat="1" applyFill="1" applyBorder="1"/>
    <xf numFmtId="3" fontId="16" fillId="0" borderId="25" xfId="34" applyNumberFormat="1" applyBorder="1"/>
    <xf numFmtId="3" fontId="16" fillId="0" borderId="81" xfId="34" applyNumberFormat="1" applyBorder="1"/>
    <xf numFmtId="167" fontId="35" fillId="0" borderId="26" xfId="34" applyNumberFormat="1" applyFont="1" applyBorder="1"/>
    <xf numFmtId="0" fontId="67" fillId="0" borderId="42" xfId="34" applyFont="1" applyBorder="1"/>
    <xf numFmtId="3" fontId="40" fillId="6" borderId="58" xfId="34" applyNumberFormat="1" applyFont="1" applyFill="1" applyBorder="1" applyAlignment="1">
      <alignment wrapText="1"/>
    </xf>
    <xf numFmtId="0" fontId="35" fillId="0" borderId="0" xfId="34" applyFont="1"/>
    <xf numFmtId="0" fontId="66" fillId="0" borderId="42" xfId="34" applyFont="1" applyBorder="1"/>
    <xf numFmtId="0" fontId="66" fillId="24" borderId="0" xfId="34" applyFont="1" applyFill="1"/>
    <xf numFmtId="0" fontId="66" fillId="6" borderId="0" xfId="34" applyFont="1" applyFill="1"/>
    <xf numFmtId="0" fontId="16" fillId="24" borderId="0" xfId="34" applyFill="1"/>
    <xf numFmtId="0" fontId="66" fillId="0" borderId="0" xfId="34" applyFont="1"/>
    <xf numFmtId="167" fontId="35" fillId="0" borderId="0" xfId="34" applyNumberFormat="1" applyFont="1"/>
    <xf numFmtId="0" fontId="67" fillId="0" borderId="0" xfId="34" applyFont="1"/>
    <xf numFmtId="0" fontId="16" fillId="16" borderId="0" xfId="34" applyFill="1"/>
    <xf numFmtId="0" fontId="33" fillId="26" borderId="43" xfId="34" applyFont="1" applyFill="1" applyBorder="1" applyAlignment="1">
      <alignment horizontal="center" vertical="center" wrapText="1"/>
    </xf>
    <xf numFmtId="0" fontId="66" fillId="16" borderId="3" xfId="34" applyFont="1" applyFill="1" applyBorder="1" applyAlignment="1">
      <alignment horizontal="center" wrapText="1"/>
    </xf>
    <xf numFmtId="0" fontId="67" fillId="24" borderId="58" xfId="34" applyFont="1" applyFill="1" applyBorder="1" applyAlignment="1">
      <alignment wrapText="1"/>
    </xf>
    <xf numFmtId="49" fontId="67" fillId="24" borderId="42" xfId="34" applyNumberFormat="1" applyFont="1" applyFill="1" applyBorder="1" applyAlignment="1">
      <alignment wrapText="1"/>
    </xf>
    <xf numFmtId="0" fontId="66" fillId="16" borderId="65" xfId="34" applyFont="1" applyFill="1" applyBorder="1" applyAlignment="1">
      <alignment wrapText="1"/>
    </xf>
    <xf numFmtId="3" fontId="35" fillId="4" borderId="23" xfId="34" applyNumberFormat="1" applyFont="1" applyFill="1" applyBorder="1"/>
    <xf numFmtId="1" fontId="35" fillId="16" borderId="24" xfId="34" applyNumberFormat="1" applyFont="1" applyFill="1" applyBorder="1"/>
    <xf numFmtId="167" fontId="35" fillId="16" borderId="24" xfId="34" applyNumberFormat="1" applyFont="1" applyFill="1" applyBorder="1"/>
    <xf numFmtId="3" fontId="35" fillId="11" borderId="23" xfId="34" applyNumberFormat="1" applyFont="1" applyFill="1" applyBorder="1"/>
    <xf numFmtId="0" fontId="35" fillId="16" borderId="24" xfId="34" applyFont="1" applyFill="1" applyBorder="1"/>
    <xf numFmtId="167" fontId="35" fillId="16" borderId="26" xfId="34" applyNumberFormat="1" applyFont="1" applyFill="1" applyBorder="1"/>
    <xf numFmtId="167" fontId="33" fillId="21" borderId="0" xfId="34" applyNumberFormat="1" applyFont="1" applyFill="1" applyBorder="1" applyAlignment="1">
      <alignment horizontal="center"/>
    </xf>
    <xf numFmtId="3" fontId="35" fillId="4" borderId="0" xfId="34" applyNumberFormat="1" applyFont="1" applyFill="1" applyBorder="1"/>
    <xf numFmtId="3" fontId="35" fillId="0" borderId="0" xfId="34" applyNumberFormat="1" applyFont="1" applyBorder="1"/>
    <xf numFmtId="3" fontId="35" fillId="11" borderId="0" xfId="34" applyNumberFormat="1" applyFont="1" applyFill="1" applyBorder="1"/>
    <xf numFmtId="3" fontId="35" fillId="19" borderId="0" xfId="34" applyNumberFormat="1" applyFont="1" applyFill="1" applyBorder="1"/>
    <xf numFmtId="9" fontId="35" fillId="22" borderId="0" xfId="34" applyNumberFormat="1" applyFont="1" applyFill="1" applyBorder="1"/>
    <xf numFmtId="3" fontId="16" fillId="6" borderId="0" xfId="34" applyNumberFormat="1" applyFill="1" applyBorder="1"/>
    <xf numFmtId="3" fontId="16" fillId="0" borderId="0" xfId="34" applyNumberFormat="1" applyBorder="1"/>
    <xf numFmtId="167" fontId="35" fillId="0" borderId="0" xfId="34" applyNumberFormat="1" applyFont="1" applyBorder="1"/>
    <xf numFmtId="167" fontId="35" fillId="16" borderId="0" xfId="34" applyNumberFormat="1" applyFont="1" applyFill="1" applyBorder="1"/>
    <xf numFmtId="0" fontId="16" fillId="19" borderId="0" xfId="34" applyFill="1"/>
    <xf numFmtId="0" fontId="16" fillId="6" borderId="46" xfId="34" applyFill="1" applyBorder="1"/>
    <xf numFmtId="3" fontId="40" fillId="6" borderId="42" xfId="34" applyNumberFormat="1" applyFont="1" applyFill="1" applyBorder="1" applyAlignment="1">
      <alignment wrapText="1"/>
    </xf>
    <xf numFmtId="3" fontId="40" fillId="6" borderId="41" xfId="34" applyNumberFormat="1" applyFont="1" applyFill="1" applyBorder="1" applyAlignment="1">
      <alignment wrapText="1"/>
    </xf>
    <xf numFmtId="3" fontId="35" fillId="6" borderId="43" xfId="34" applyNumberFormat="1" applyFont="1" applyFill="1" applyBorder="1"/>
    <xf numFmtId="1" fontId="35" fillId="0" borderId="25" xfId="34" applyNumberFormat="1" applyFont="1" applyBorder="1"/>
    <xf numFmtId="1" fontId="67" fillId="0" borderId="82" xfId="34" applyNumberFormat="1" applyFont="1" applyBorder="1" applyAlignment="1">
      <alignment horizontal="right"/>
    </xf>
    <xf numFmtId="3" fontId="35" fillId="0" borderId="25" xfId="34" applyNumberFormat="1" applyFont="1" applyBorder="1"/>
    <xf numFmtId="3" fontId="35" fillId="6" borderId="25" xfId="34" applyNumberFormat="1" applyFont="1" applyFill="1" applyBorder="1"/>
    <xf numFmtId="0" fontId="66" fillId="0" borderId="4" xfId="34" applyFont="1" applyBorder="1"/>
    <xf numFmtId="3" fontId="66" fillId="6" borderId="0" xfId="34" applyNumberFormat="1" applyFont="1" applyFill="1" applyBorder="1"/>
    <xf numFmtId="3" fontId="66" fillId="16" borderId="20" xfId="34" applyNumberFormat="1" applyFont="1" applyFill="1" applyBorder="1"/>
    <xf numFmtId="3" fontId="66" fillId="0" borderId="20" xfId="34" applyNumberFormat="1" applyFont="1" applyBorder="1"/>
    <xf numFmtId="3" fontId="35" fillId="6" borderId="42" xfId="34" applyNumberFormat="1" applyFont="1" applyFill="1" applyBorder="1"/>
    <xf numFmtId="0" fontId="16" fillId="6" borderId="42" xfId="34" applyFill="1" applyBorder="1"/>
    <xf numFmtId="3" fontId="66" fillId="19" borderId="58" xfId="34" applyNumberFormat="1" applyFont="1" applyFill="1" applyBorder="1"/>
    <xf numFmtId="0" fontId="16" fillId="4" borderId="0" xfId="34" applyFill="1"/>
    <xf numFmtId="3" fontId="25" fillId="6" borderId="59" xfId="26" applyNumberFormat="1" applyFont="1" applyFill="1" applyBorder="1"/>
    <xf numFmtId="3" fontId="27" fillId="6" borderId="59" xfId="26" applyNumberFormat="1" applyFont="1" applyFill="1" applyBorder="1"/>
    <xf numFmtId="167" fontId="60" fillId="6" borderId="59" xfId="26" applyNumberFormat="1" applyFont="1" applyFill="1" applyBorder="1"/>
    <xf numFmtId="167" fontId="25" fillId="4" borderId="62" xfId="26" applyNumberFormat="1" applyFont="1" applyFill="1" applyBorder="1"/>
    <xf numFmtId="167" fontId="27" fillId="6" borderId="62" xfId="26" applyNumberFormat="1" applyFont="1" applyFill="1" applyBorder="1" applyAlignment="1">
      <alignment horizontal="left" indent="1"/>
    </xf>
    <xf numFmtId="167" fontId="25" fillId="6" borderId="62" xfId="26" applyNumberFormat="1" applyFont="1" applyFill="1" applyBorder="1"/>
    <xf numFmtId="167" fontId="25" fillId="6" borderId="62" xfId="29" applyNumberFormat="1" applyFont="1" applyFill="1" applyBorder="1"/>
    <xf numFmtId="1" fontId="47" fillId="6" borderId="62" xfId="29" applyNumberFormat="1" applyFont="1" applyFill="1" applyBorder="1"/>
    <xf numFmtId="49" fontId="27" fillId="6" borderId="64" xfId="26" applyNumberFormat="1" applyFont="1" applyFill="1" applyBorder="1" applyAlignment="1">
      <alignment horizontal="center"/>
    </xf>
    <xf numFmtId="49" fontId="60" fillId="6" borderId="64" xfId="26" applyNumberFormat="1" applyFont="1" applyFill="1" applyBorder="1" applyAlignment="1">
      <alignment horizontal="center"/>
    </xf>
    <xf numFmtId="167" fontId="27" fillId="6" borderId="62" xfId="26" applyNumberFormat="1" applyFont="1" applyFill="1" applyBorder="1"/>
    <xf numFmtId="167" fontId="25" fillId="4" borderId="83" xfId="26" applyNumberFormat="1" applyFont="1" applyFill="1" applyBorder="1"/>
    <xf numFmtId="167" fontId="25" fillId="4" borderId="84" xfId="26" applyNumberFormat="1" applyFont="1" applyFill="1" applyBorder="1"/>
    <xf numFmtId="167" fontId="25" fillId="4" borderId="85" xfId="26" applyNumberFormat="1" applyFont="1" applyFill="1" applyBorder="1"/>
    <xf numFmtId="0" fontId="40" fillId="6" borderId="63" xfId="26" applyFont="1" applyFill="1" applyBorder="1"/>
    <xf numFmtId="0" fontId="40" fillId="6" borderId="86" xfId="26" applyFont="1" applyFill="1" applyBorder="1"/>
    <xf numFmtId="0" fontId="35" fillId="6" borderId="42" xfId="26" applyFont="1" applyFill="1" applyBorder="1"/>
    <xf numFmtId="0" fontId="35" fillId="6" borderId="65" xfId="26" applyFont="1" applyFill="1" applyBorder="1"/>
    <xf numFmtId="0" fontId="40" fillId="6" borderId="42" xfId="26" applyFont="1" applyFill="1" applyBorder="1"/>
    <xf numFmtId="0" fontId="40" fillId="6" borderId="88" xfId="26" applyFont="1" applyFill="1" applyBorder="1"/>
    <xf numFmtId="0" fontId="69" fillId="4" borderId="33" xfId="26" applyFont="1" applyFill="1" applyBorder="1"/>
    <xf numFmtId="167" fontId="39" fillId="6" borderId="34" xfId="26" applyNumberFormat="1" applyFont="1" applyFill="1" applyBorder="1" applyAlignment="1">
      <alignment horizontal="right" indent="1"/>
    </xf>
    <xf numFmtId="167" fontId="27" fillId="4" borderId="34" xfId="29" applyNumberFormat="1" applyFont="1" applyFill="1" applyBorder="1"/>
    <xf numFmtId="0" fontId="69" fillId="4" borderId="0" xfId="26" applyFont="1" applyFill="1" applyBorder="1"/>
    <xf numFmtId="0" fontId="69" fillId="6" borderId="33" xfId="26" applyFont="1" applyFill="1" applyBorder="1"/>
    <xf numFmtId="1" fontId="27" fillId="4" borderId="34" xfId="29" applyNumberFormat="1" applyFont="1" applyFill="1" applyBorder="1"/>
    <xf numFmtId="0" fontId="69" fillId="6" borderId="0" xfId="26" applyFont="1" applyFill="1" applyBorder="1"/>
    <xf numFmtId="3" fontId="37" fillId="11" borderId="59" xfId="26" applyNumberFormat="1" applyFont="1" applyFill="1" applyBorder="1"/>
    <xf numFmtId="167" fontId="25" fillId="4" borderId="59" xfId="26" applyNumberFormat="1" applyFont="1" applyFill="1" applyBorder="1" applyAlignment="1">
      <alignment horizontal="left" indent="1"/>
    </xf>
    <xf numFmtId="3" fontId="25" fillId="4" borderId="59" xfId="26" applyNumberFormat="1" applyFont="1" applyFill="1" applyBorder="1"/>
    <xf numFmtId="167" fontId="46" fillId="14" borderId="62" xfId="29" applyNumberFormat="1" applyFont="1" applyFill="1" applyBorder="1"/>
    <xf numFmtId="3" fontId="46" fillId="14" borderId="62" xfId="29" applyNumberFormat="1" applyFont="1" applyFill="1" applyBorder="1" applyAlignment="1">
      <alignment vertical="center"/>
    </xf>
    <xf numFmtId="0" fontId="6" fillId="4" borderId="46" xfId="26" applyFill="1" applyBorder="1"/>
    <xf numFmtId="0" fontId="40" fillId="4" borderId="86" xfId="29" applyFont="1" applyFill="1" applyBorder="1"/>
    <xf numFmtId="0" fontId="71" fillId="4" borderId="0" xfId="26" applyFont="1" applyFill="1" applyBorder="1"/>
    <xf numFmtId="0" fontId="72" fillId="4" borderId="0" xfId="26" applyFont="1" applyFill="1" applyBorder="1"/>
    <xf numFmtId="0" fontId="73" fillId="6" borderId="63" xfId="26" applyFont="1" applyFill="1" applyBorder="1"/>
    <xf numFmtId="167" fontId="71" fillId="4" borderId="62" xfId="26" applyNumberFormat="1" applyFont="1" applyFill="1" applyBorder="1"/>
    <xf numFmtId="167" fontId="71" fillId="4" borderId="34" xfId="26" applyNumberFormat="1" applyFont="1" applyFill="1" applyBorder="1"/>
    <xf numFmtId="167" fontId="74" fillId="4" borderId="59" xfId="26" applyNumberFormat="1" applyFont="1" applyFill="1" applyBorder="1"/>
    <xf numFmtId="167" fontId="71" fillId="6" borderId="59" xfId="26" applyNumberFormat="1" applyFont="1" applyFill="1" applyBorder="1"/>
    <xf numFmtId="169" fontId="73" fillId="6" borderId="64" xfId="29" applyNumberFormat="1" applyFont="1" applyFill="1" applyBorder="1"/>
    <xf numFmtId="167" fontId="71" fillId="6" borderId="62" xfId="26" applyNumberFormat="1" applyFont="1" applyFill="1" applyBorder="1"/>
    <xf numFmtId="169" fontId="73" fillId="6" borderId="34" xfId="29" applyNumberFormat="1" applyFont="1" applyFill="1" applyBorder="1"/>
    <xf numFmtId="167" fontId="71" fillId="4" borderId="59" xfId="26" applyNumberFormat="1" applyFont="1" applyFill="1" applyBorder="1"/>
    <xf numFmtId="0" fontId="71" fillId="4" borderId="42" xfId="26" applyFont="1" applyFill="1" applyBorder="1"/>
    <xf numFmtId="169" fontId="75" fillId="14" borderId="62" xfId="29" applyNumberFormat="1" applyFont="1" applyFill="1" applyBorder="1"/>
    <xf numFmtId="167" fontId="71" fillId="15" borderId="34" xfId="29" applyNumberFormat="1" applyFont="1" applyFill="1" applyBorder="1"/>
    <xf numFmtId="167" fontId="71" fillId="4" borderId="34" xfId="29" applyNumberFormat="1" applyFont="1" applyFill="1" applyBorder="1"/>
    <xf numFmtId="1" fontId="71" fillId="4" borderId="34" xfId="29" applyNumberFormat="1" applyFont="1" applyFill="1" applyBorder="1"/>
    <xf numFmtId="169" fontId="75" fillId="14" borderId="34" xfId="29" applyNumberFormat="1" applyFont="1" applyFill="1" applyBorder="1"/>
    <xf numFmtId="169" fontId="73" fillId="17" borderId="34" xfId="29" applyNumberFormat="1" applyFont="1" applyFill="1" applyBorder="1"/>
    <xf numFmtId="167" fontId="71" fillId="4" borderId="34" xfId="26" applyNumberFormat="1" applyFont="1" applyFill="1" applyBorder="1" applyAlignment="1">
      <alignment horizontal="left" indent="1"/>
    </xf>
    <xf numFmtId="167" fontId="74" fillId="4" borderId="34" xfId="26" applyNumberFormat="1" applyFont="1" applyFill="1" applyBorder="1" applyAlignment="1">
      <alignment horizontal="left" indent="1"/>
    </xf>
    <xf numFmtId="167" fontId="74" fillId="4" borderId="34" xfId="26" applyNumberFormat="1" applyFont="1" applyFill="1" applyBorder="1"/>
    <xf numFmtId="167" fontId="77" fillId="4" borderId="34" xfId="26" applyNumberFormat="1" applyFont="1" applyFill="1" applyBorder="1"/>
    <xf numFmtId="167" fontId="78" fillId="6" borderId="59" xfId="26" applyNumberFormat="1" applyFont="1" applyFill="1" applyBorder="1"/>
    <xf numFmtId="1" fontId="71" fillId="4" borderId="34" xfId="26" applyNumberFormat="1" applyFont="1" applyFill="1" applyBorder="1"/>
    <xf numFmtId="167" fontId="27" fillId="15" borderId="34" xfId="29" applyNumberFormat="1" applyFont="1" applyFill="1" applyBorder="1" applyAlignment="1">
      <alignment horizontal="left" indent="1"/>
    </xf>
    <xf numFmtId="0" fontId="70" fillId="8" borderId="0" xfId="34" applyFont="1" applyFill="1"/>
    <xf numFmtId="0" fontId="16" fillId="8" borderId="0" xfId="34" applyFill="1"/>
    <xf numFmtId="167" fontId="25" fillId="6" borderId="34" xfId="26" applyNumberFormat="1" applyFont="1" applyFill="1" applyBorder="1" applyAlignment="1">
      <alignment horizontal="left" indent="1"/>
    </xf>
    <xf numFmtId="167" fontId="71" fillId="6" borderId="34" xfId="26" applyNumberFormat="1" applyFont="1" applyFill="1" applyBorder="1" applyAlignment="1">
      <alignment horizontal="left" indent="1"/>
    </xf>
    <xf numFmtId="3" fontId="25" fillId="6" borderId="34" xfId="26" applyNumberFormat="1" applyFont="1" applyFill="1" applyBorder="1" applyAlignment="1"/>
    <xf numFmtId="167" fontId="29" fillId="6" borderId="34" xfId="26" applyNumberFormat="1" applyFont="1" applyFill="1" applyBorder="1" applyAlignment="1">
      <alignment horizontal="left" indent="1"/>
    </xf>
    <xf numFmtId="167" fontId="74" fillId="6" borderId="34" xfId="26" applyNumberFormat="1" applyFont="1" applyFill="1" applyBorder="1" applyAlignment="1">
      <alignment horizontal="left" indent="1"/>
    </xf>
    <xf numFmtId="3" fontId="29" fillId="6" borderId="34" xfId="26" applyNumberFormat="1" applyFont="1" applyFill="1" applyBorder="1" applyAlignment="1"/>
    <xf numFmtId="167" fontId="71" fillId="6" borderId="34" xfId="26" applyNumberFormat="1" applyFont="1" applyFill="1" applyBorder="1"/>
    <xf numFmtId="167" fontId="30" fillId="6" borderId="34" xfId="26" applyNumberFormat="1" applyFont="1" applyFill="1" applyBorder="1"/>
    <xf numFmtId="167" fontId="77" fillId="6" borderId="34" xfId="26" applyNumberFormat="1" applyFont="1" applyFill="1" applyBorder="1"/>
    <xf numFmtId="3" fontId="30" fillId="6" borderId="34" xfId="26" applyNumberFormat="1" applyFont="1" applyFill="1" applyBorder="1" applyAlignment="1"/>
    <xf numFmtId="3" fontId="40" fillId="4" borderId="34" xfId="26" applyNumberFormat="1" applyFont="1" applyFill="1" applyBorder="1"/>
    <xf numFmtId="0" fontId="31" fillId="4" borderId="0" xfId="26" applyFont="1" applyFill="1" applyBorder="1"/>
    <xf numFmtId="0" fontId="79" fillId="6" borderId="86" xfId="26" applyFont="1" applyFill="1" applyBorder="1"/>
    <xf numFmtId="0" fontId="79" fillId="6" borderId="87" xfId="26" applyFont="1" applyFill="1" applyBorder="1"/>
    <xf numFmtId="167" fontId="80" fillId="4" borderId="62" xfId="26" applyNumberFormat="1" applyFont="1" applyFill="1" applyBorder="1"/>
    <xf numFmtId="167" fontId="80" fillId="4" borderId="83" xfId="26" applyNumberFormat="1" applyFont="1" applyFill="1" applyBorder="1"/>
    <xf numFmtId="3" fontId="80" fillId="4" borderId="34" xfId="26" applyNumberFormat="1" applyFont="1" applyFill="1" applyBorder="1"/>
    <xf numFmtId="3" fontId="80" fillId="4" borderId="36" xfId="26" applyNumberFormat="1" applyFont="1" applyFill="1" applyBorder="1"/>
    <xf numFmtId="3" fontId="81" fillId="6" borderId="59" xfId="26" applyNumberFormat="1" applyFont="1" applyFill="1" applyBorder="1"/>
    <xf numFmtId="3" fontId="81" fillId="6" borderId="40" xfId="26" applyNumberFormat="1" applyFont="1" applyFill="1" applyBorder="1"/>
    <xf numFmtId="3" fontId="80" fillId="6" borderId="59" xfId="26" applyNumberFormat="1" applyFont="1" applyFill="1" applyBorder="1"/>
    <xf numFmtId="49" fontId="79" fillId="6" borderId="64" xfId="26" applyNumberFormat="1" applyFont="1" applyFill="1" applyBorder="1" applyAlignment="1">
      <alignment horizontal="center"/>
    </xf>
    <xf numFmtId="167" fontId="80" fillId="6" borderId="62" xfId="26" applyNumberFormat="1" applyFont="1" applyFill="1" applyBorder="1"/>
    <xf numFmtId="3" fontId="81" fillId="6" borderId="34" xfId="26" applyNumberFormat="1" applyFont="1" applyFill="1" applyBorder="1"/>
    <xf numFmtId="0" fontId="79" fillId="4" borderId="86" xfId="29" applyFont="1" applyFill="1" applyBorder="1"/>
    <xf numFmtId="0" fontId="79" fillId="4" borderId="88" xfId="29" applyFont="1" applyFill="1" applyBorder="1"/>
    <xf numFmtId="3" fontId="79" fillId="14" borderId="62" xfId="29" applyNumberFormat="1" applyFont="1" applyFill="1" applyBorder="1" applyAlignment="1">
      <alignment vertical="center"/>
    </xf>
    <xf numFmtId="3" fontId="79" fillId="15" borderId="34" xfId="29" applyNumberFormat="1" applyFont="1" applyFill="1" applyBorder="1" applyAlignment="1">
      <alignment vertical="center"/>
    </xf>
    <xf numFmtId="3" fontId="80" fillId="0" borderId="34" xfId="29" applyNumberFormat="1" applyFont="1" applyFill="1" applyBorder="1" applyAlignment="1">
      <alignment vertical="center"/>
    </xf>
    <xf numFmtId="3" fontId="80" fillId="0" borderId="0" xfId="29" applyNumberFormat="1" applyFont="1" applyAlignment="1">
      <alignment vertical="center"/>
    </xf>
    <xf numFmtId="3" fontId="79" fillId="14" borderId="34" xfId="29" applyNumberFormat="1" applyFont="1" applyFill="1" applyBorder="1" applyAlignment="1">
      <alignment vertical="center"/>
    </xf>
    <xf numFmtId="3" fontId="80" fillId="0" borderId="0" xfId="29" applyNumberFormat="1" applyFont="1" applyFill="1" applyBorder="1" applyAlignment="1">
      <alignment vertical="center"/>
    </xf>
    <xf numFmtId="3" fontId="80" fillId="4" borderId="34" xfId="26" applyNumberFormat="1" applyFont="1" applyFill="1" applyBorder="1" applyAlignment="1"/>
    <xf numFmtId="167" fontId="80" fillId="4" borderId="34" xfId="26" applyNumberFormat="1" applyFont="1" applyFill="1" applyBorder="1"/>
    <xf numFmtId="3" fontId="82" fillId="4" borderId="59" xfId="26" applyNumberFormat="1" applyFont="1" applyFill="1" applyBorder="1"/>
    <xf numFmtId="3" fontId="79" fillId="4" borderId="34" xfId="26" applyNumberFormat="1" applyFont="1" applyFill="1" applyBorder="1"/>
    <xf numFmtId="3" fontId="80" fillId="6" borderId="34" xfId="26" applyNumberFormat="1" applyFont="1" applyFill="1" applyBorder="1" applyAlignment="1"/>
    <xf numFmtId="3" fontId="82" fillId="6" borderId="34" xfId="26" applyNumberFormat="1" applyFont="1" applyFill="1" applyBorder="1" applyAlignment="1"/>
    <xf numFmtId="3" fontId="82" fillId="4" borderId="34" xfId="26" applyNumberFormat="1" applyFont="1" applyFill="1" applyBorder="1" applyAlignment="1"/>
    <xf numFmtId="3" fontId="81" fillId="4" borderId="34" xfId="26" applyNumberFormat="1" applyFont="1" applyFill="1" applyBorder="1"/>
    <xf numFmtId="167" fontId="80" fillId="4" borderId="34" xfId="26" applyNumberFormat="1" applyFont="1" applyFill="1" applyBorder="1" applyAlignment="1">
      <alignment horizontal="left" indent="1"/>
    </xf>
    <xf numFmtId="167" fontId="25" fillId="16" borderId="34" xfId="26" applyNumberFormat="1" applyFont="1" applyFill="1" applyBorder="1" applyAlignment="1">
      <alignment horizontal="right" indent="1"/>
    </xf>
    <xf numFmtId="9" fontId="25" fillId="4" borderId="34" xfId="15" applyFont="1" applyFill="1" applyBorder="1"/>
    <xf numFmtId="0" fontId="83" fillId="0" borderId="1" xfId="0" applyFont="1" applyBorder="1"/>
    <xf numFmtId="0" fontId="84" fillId="0" borderId="2" xfId="0" applyFont="1" applyBorder="1"/>
    <xf numFmtId="0" fontId="83" fillId="0" borderId="3" xfId="0" applyFont="1" applyBorder="1"/>
    <xf numFmtId="1" fontId="83" fillId="0" borderId="23" xfId="0" applyNumberFormat="1" applyFont="1" applyBorder="1"/>
    <xf numFmtId="0" fontId="83" fillId="0" borderId="4" xfId="0" applyFont="1" applyBorder="1" applyAlignment="1">
      <alignment horizontal="left"/>
    </xf>
    <xf numFmtId="1" fontId="83" fillId="0" borderId="23" xfId="0" applyNumberFormat="1" applyFont="1" applyBorder="1" applyAlignment="1">
      <alignment horizontal="right"/>
    </xf>
    <xf numFmtId="0" fontId="83" fillId="0" borderId="21" xfId="0" applyFont="1" applyBorder="1" applyAlignment="1">
      <alignment horizontal="left"/>
    </xf>
    <xf numFmtId="1" fontId="83" fillId="0" borderId="23" xfId="0" applyNumberFormat="1" applyFont="1" applyFill="1" applyBorder="1" applyAlignment="1">
      <alignment horizontal="right"/>
    </xf>
    <xf numFmtId="1" fontId="83" fillId="0" borderId="30" xfId="0" applyNumberFormat="1" applyFont="1" applyBorder="1"/>
    <xf numFmtId="0" fontId="83" fillId="0" borderId="72" xfId="0" applyFont="1" applyBorder="1" applyAlignment="1">
      <alignment horizontal="left"/>
    </xf>
    <xf numFmtId="0" fontId="83" fillId="0" borderId="79" xfId="0" applyFont="1" applyFill="1" applyBorder="1" applyAlignment="1">
      <alignment horizontal="left"/>
    </xf>
    <xf numFmtId="1" fontId="85" fillId="20" borderId="23" xfId="0" applyNumberFormat="1" applyFont="1" applyFill="1" applyBorder="1"/>
    <xf numFmtId="0" fontId="85" fillId="20" borderId="72" xfId="0" applyFont="1" applyFill="1" applyBorder="1" applyAlignment="1">
      <alignment horizontal="left"/>
    </xf>
    <xf numFmtId="0" fontId="85" fillId="20" borderId="78" xfId="0" applyFont="1" applyFill="1" applyBorder="1" applyAlignment="1">
      <alignment horizontal="left"/>
    </xf>
    <xf numFmtId="1" fontId="85" fillId="20" borderId="72" xfId="0" applyNumberFormat="1" applyFont="1" applyFill="1" applyBorder="1" applyAlignment="1">
      <alignment horizontal="right"/>
    </xf>
    <xf numFmtId="1" fontId="84" fillId="0" borderId="72" xfId="0" applyNumberFormat="1" applyFont="1" applyBorder="1" applyAlignment="1">
      <alignment horizontal="right"/>
    </xf>
    <xf numFmtId="1" fontId="84" fillId="0" borderId="72" xfId="0" applyNumberFormat="1" applyFont="1" applyFill="1" applyBorder="1" applyAlignment="1">
      <alignment horizontal="right"/>
    </xf>
    <xf numFmtId="1" fontId="84" fillId="0" borderId="69" xfId="0" applyNumberFormat="1" applyFont="1" applyBorder="1" applyAlignment="1">
      <alignment horizontal="right"/>
    </xf>
    <xf numFmtId="1" fontId="83" fillId="0" borderId="30" xfId="0" applyNumberFormat="1" applyFont="1" applyFill="1" applyBorder="1" applyAlignment="1">
      <alignment horizontal="right"/>
    </xf>
    <xf numFmtId="49" fontId="83" fillId="0" borderId="72" xfId="0" applyNumberFormat="1" applyFont="1" applyBorder="1" applyAlignment="1">
      <alignment horizontal="left"/>
    </xf>
    <xf numFmtId="0" fontId="83" fillId="0" borderId="79" xfId="0" applyFont="1" applyBorder="1" applyAlignment="1">
      <alignment horizontal="left"/>
    </xf>
    <xf numFmtId="0" fontId="83" fillId="0" borderId="69" xfId="0" applyFont="1" applyFill="1" applyBorder="1" applyAlignment="1">
      <alignment horizontal="left"/>
    </xf>
    <xf numFmtId="1" fontId="84" fillId="0" borderId="69" xfId="0" applyNumberFormat="1" applyFont="1" applyFill="1" applyBorder="1" applyAlignment="1">
      <alignment horizontal="right"/>
    </xf>
    <xf numFmtId="1" fontId="85" fillId="0" borderId="23" xfId="0" applyNumberFormat="1" applyFont="1" applyBorder="1"/>
    <xf numFmtId="0" fontId="85" fillId="0" borderId="4" xfId="0" applyFont="1" applyBorder="1" applyAlignment="1">
      <alignment horizontal="left"/>
    </xf>
    <xf numFmtId="0" fontId="85" fillId="20" borderId="79" xfId="0" applyFont="1" applyFill="1" applyBorder="1" applyAlignment="1">
      <alignment horizontal="left"/>
    </xf>
    <xf numFmtId="0" fontId="85" fillId="0" borderId="78" xfId="0" applyFont="1" applyBorder="1" applyAlignment="1">
      <alignment horizontal="left"/>
    </xf>
    <xf numFmtId="0" fontId="83" fillId="0" borderId="78" xfId="0" applyFont="1" applyBorder="1" applyAlignment="1">
      <alignment horizontal="left"/>
    </xf>
    <xf numFmtId="0" fontId="83" fillId="0" borderId="68" xfId="0" applyFont="1" applyBorder="1" applyAlignment="1">
      <alignment horizontal="left"/>
    </xf>
    <xf numFmtId="1" fontId="85" fillId="0" borderId="72" xfId="0" applyNumberFormat="1" applyFont="1" applyBorder="1" applyAlignment="1">
      <alignment horizontal="right"/>
    </xf>
    <xf numFmtId="1" fontId="83" fillId="0" borderId="69" xfId="0" applyNumberFormat="1" applyFont="1" applyBorder="1" applyAlignment="1">
      <alignment horizontal="right"/>
    </xf>
    <xf numFmtId="1" fontId="83" fillId="4" borderId="23" xfId="0" applyNumberFormat="1" applyFont="1" applyFill="1" applyBorder="1" applyAlignment="1">
      <alignment horizontal="right"/>
    </xf>
    <xf numFmtId="1" fontId="83" fillId="23" borderId="23" xfId="0" applyNumberFormat="1" applyFont="1" applyFill="1" applyBorder="1" applyAlignment="1">
      <alignment horizontal="right"/>
    </xf>
    <xf numFmtId="0" fontId="83" fillId="4" borderId="72" xfId="0" applyNumberFormat="1" applyFont="1" applyFill="1" applyBorder="1" applyAlignment="1">
      <alignment horizontal="left"/>
    </xf>
    <xf numFmtId="0" fontId="83" fillId="23" borderId="72" xfId="0" applyNumberFormat="1" applyFont="1" applyFill="1" applyBorder="1" applyAlignment="1">
      <alignment horizontal="left"/>
    </xf>
    <xf numFmtId="0" fontId="83" fillId="0" borderId="78" xfId="0" applyFont="1" applyFill="1" applyBorder="1" applyAlignment="1">
      <alignment horizontal="left"/>
    </xf>
    <xf numFmtId="0" fontId="83" fillId="0" borderId="72" xfId="0" applyFont="1" applyFill="1" applyBorder="1" applyAlignment="1">
      <alignment horizontal="left"/>
    </xf>
    <xf numFmtId="1" fontId="84" fillId="4" borderId="72" xfId="0" applyNumberFormat="1" applyFont="1" applyFill="1" applyBorder="1" applyAlignment="1">
      <alignment horizontal="right"/>
    </xf>
    <xf numFmtId="1" fontId="84" fillId="23" borderId="72" xfId="0" applyNumberFormat="1" applyFont="1" applyFill="1" applyBorder="1" applyAlignment="1">
      <alignment horizontal="right"/>
    </xf>
    <xf numFmtId="0" fontId="83" fillId="0" borderId="72" xfId="0" applyNumberFormat="1" applyFont="1" applyBorder="1" applyAlignment="1">
      <alignment horizontal="left"/>
    </xf>
    <xf numFmtId="49" fontId="83" fillId="0" borderId="69" xfId="0" applyNumberFormat="1" applyFont="1" applyBorder="1" applyAlignment="1">
      <alignment horizontal="left"/>
    </xf>
    <xf numFmtId="1" fontId="85" fillId="0" borderId="28" xfId="0" applyNumberFormat="1" applyFont="1" applyBorder="1"/>
    <xf numFmtId="1" fontId="85" fillId="20" borderId="30" xfId="0" applyNumberFormat="1" applyFont="1" applyFill="1" applyBorder="1"/>
    <xf numFmtId="0" fontId="85" fillId="20" borderId="68" xfId="0" applyFont="1" applyFill="1" applyBorder="1" applyAlignment="1">
      <alignment horizontal="left"/>
    </xf>
    <xf numFmtId="0" fontId="85" fillId="0" borderId="66" xfId="0" applyFont="1" applyBorder="1" applyAlignment="1">
      <alignment horizontal="left"/>
    </xf>
    <xf numFmtId="1" fontId="85" fillId="0" borderId="67" xfId="0" applyNumberFormat="1" applyFont="1" applyBorder="1" applyAlignment="1">
      <alignment horizontal="right"/>
    </xf>
    <xf numFmtId="1" fontId="85" fillId="20" borderId="69" xfId="0" applyNumberFormat="1" applyFont="1" applyFill="1" applyBorder="1" applyAlignment="1">
      <alignment horizontal="right"/>
    </xf>
    <xf numFmtId="168" fontId="9" fillId="4" borderId="0" xfId="1" applyNumberFormat="1" applyFont="1" applyFill="1" applyBorder="1"/>
    <xf numFmtId="167" fontId="27" fillId="15" borderId="34" xfId="0" applyNumberFormat="1" applyFont="1" applyFill="1" applyBorder="1" applyAlignment="1">
      <alignment horizontal="left" indent="1"/>
    </xf>
    <xf numFmtId="167" fontId="25" fillId="15" borderId="34" xfId="0" applyNumberFormat="1" applyFont="1" applyFill="1" applyBorder="1"/>
    <xf numFmtId="167" fontId="25" fillId="0" borderId="34" xfId="0" applyNumberFormat="1" applyFont="1" applyFill="1" applyBorder="1" applyAlignment="1">
      <alignment horizontal="left" indent="2"/>
    </xf>
    <xf numFmtId="167" fontId="25" fillId="4" borderId="34" xfId="0" applyNumberFormat="1" applyFont="1" applyFill="1" applyBorder="1"/>
    <xf numFmtId="0" fontId="0" fillId="0" borderId="45" xfId="0" applyBorder="1"/>
    <xf numFmtId="0" fontId="49" fillId="0" borderId="0" xfId="0" applyFont="1" applyFill="1" applyBorder="1"/>
    <xf numFmtId="0" fontId="86" fillId="0" borderId="0" xfId="29" applyFont="1"/>
    <xf numFmtId="0" fontId="42" fillId="0" borderId="89" xfId="29" applyBorder="1"/>
    <xf numFmtId="0" fontId="42" fillId="0" borderId="90" xfId="29" applyBorder="1"/>
    <xf numFmtId="0" fontId="42" fillId="0" borderId="91" xfId="29" applyBorder="1"/>
    <xf numFmtId="0" fontId="88" fillId="0" borderId="0" xfId="29" applyFont="1"/>
    <xf numFmtId="3" fontId="42" fillId="0" borderId="0" xfId="29" applyNumberFormat="1" applyBorder="1"/>
    <xf numFmtId="3" fontId="42" fillId="0" borderId="5" xfId="29" applyNumberFormat="1" applyBorder="1"/>
    <xf numFmtId="3" fontId="42" fillId="0" borderId="19" xfId="29" applyNumberFormat="1" applyBorder="1"/>
    <xf numFmtId="3" fontId="42" fillId="0" borderId="20" xfId="29" applyNumberFormat="1" applyBorder="1"/>
    <xf numFmtId="3" fontId="27" fillId="15" borderId="34" xfId="0" applyNumberFormat="1" applyFont="1" applyFill="1" applyBorder="1"/>
    <xf numFmtId="167" fontId="27" fillId="17" borderId="34" xfId="26" applyNumberFormat="1" applyFont="1" applyFill="1" applyBorder="1" applyAlignment="1">
      <alignment horizontal="left" indent="1"/>
    </xf>
    <xf numFmtId="167" fontId="71" fillId="17" borderId="34" xfId="26" applyNumberFormat="1" applyFont="1" applyFill="1" applyBorder="1" applyAlignment="1">
      <alignment horizontal="left" indent="1"/>
    </xf>
    <xf numFmtId="167" fontId="25" fillId="17" borderId="34" xfId="26" applyNumberFormat="1" applyFont="1" applyFill="1" applyBorder="1" applyAlignment="1">
      <alignment horizontal="left" indent="1"/>
    </xf>
    <xf numFmtId="167" fontId="80" fillId="17" borderId="34" xfId="26" applyNumberFormat="1" applyFont="1" applyFill="1" applyBorder="1" applyAlignment="1">
      <alignment horizontal="left" indent="1"/>
    </xf>
    <xf numFmtId="167" fontId="60" fillId="17" borderId="34" xfId="26" applyNumberFormat="1" applyFont="1" applyFill="1" applyBorder="1"/>
    <xf numFmtId="167" fontId="71" fillId="17" borderId="34" xfId="26" applyNumberFormat="1" applyFont="1" applyFill="1" applyBorder="1"/>
    <xf numFmtId="167" fontId="80" fillId="17" borderId="34" xfId="26" applyNumberFormat="1" applyFont="1" applyFill="1" applyBorder="1"/>
    <xf numFmtId="167" fontId="29" fillId="4" borderId="34" xfId="26" applyNumberFormat="1" applyFont="1" applyFill="1" applyBorder="1"/>
    <xf numFmtId="3" fontId="29" fillId="4" borderId="34" xfId="26" applyNumberFormat="1" applyFont="1" applyFill="1" applyBorder="1"/>
    <xf numFmtId="0" fontId="95" fillId="4" borderId="23" xfId="36" applyFont="1" applyFill="1" applyBorder="1"/>
    <xf numFmtId="0" fontId="96" fillId="2" borderId="23" xfId="36" applyFont="1" applyBorder="1"/>
    <xf numFmtId="167" fontId="98" fillId="8" borderId="23" xfId="36" applyNumberFormat="1" applyFont="1" applyFill="1" applyBorder="1"/>
    <xf numFmtId="0" fontId="100" fillId="2" borderId="23" xfId="36" applyFont="1" applyBorder="1"/>
    <xf numFmtId="170" fontId="101" fillId="8" borderId="23" xfId="36" applyNumberFormat="1" applyFont="1" applyFill="1" applyBorder="1"/>
    <xf numFmtId="0" fontId="66" fillId="6" borderId="0" xfId="0" applyFont="1" applyFill="1"/>
    <xf numFmtId="171" fontId="107" fillId="31" borderId="102" xfId="0" applyNumberFormat="1" applyFont="1" applyFill="1" applyBorder="1" applyAlignment="1"/>
    <xf numFmtId="171" fontId="107" fillId="31" borderId="103" xfId="0" applyNumberFormat="1" applyFont="1" applyFill="1" applyBorder="1" applyAlignment="1"/>
    <xf numFmtId="171" fontId="107" fillId="32" borderId="103" xfId="0" applyNumberFormat="1" applyFont="1" applyFill="1" applyBorder="1" applyAlignment="1"/>
    <xf numFmtId="171" fontId="107" fillId="31" borderId="104" xfId="0" applyNumberFormat="1" applyFont="1" applyFill="1" applyBorder="1" applyAlignment="1"/>
    <xf numFmtId="1" fontId="108" fillId="0" borderId="102" xfId="0" applyNumberFormat="1" applyFont="1" applyFill="1" applyBorder="1" applyAlignment="1"/>
    <xf numFmtId="171" fontId="108" fillId="0" borderId="103" xfId="0" applyNumberFormat="1" applyFont="1" applyFill="1" applyBorder="1" applyAlignment="1"/>
    <xf numFmtId="171" fontId="108" fillId="0" borderId="103" xfId="0" applyNumberFormat="1" applyFont="1" applyFill="1" applyBorder="1" applyAlignment="1">
      <alignment horizontal="center"/>
    </xf>
    <xf numFmtId="171" fontId="108" fillId="6" borderId="103" xfId="0" applyNumberFormat="1" applyFont="1" applyFill="1" applyBorder="1" applyAlignment="1">
      <alignment horizontal="center"/>
    </xf>
    <xf numFmtId="171" fontId="108" fillId="0" borderId="104" xfId="0" applyNumberFormat="1" applyFont="1" applyFill="1" applyBorder="1" applyAlignment="1">
      <alignment horizontal="center"/>
    </xf>
    <xf numFmtId="1" fontId="108" fillId="0" borderId="105" xfId="0" applyNumberFormat="1" applyFont="1" applyFill="1" applyBorder="1" applyAlignment="1"/>
    <xf numFmtId="171" fontId="108" fillId="0" borderId="106" xfId="0" applyNumberFormat="1" applyFont="1" applyFill="1" applyBorder="1" applyAlignment="1"/>
    <xf numFmtId="171" fontId="108" fillId="0" borderId="106" xfId="0" applyNumberFormat="1" applyFont="1" applyFill="1" applyBorder="1" applyAlignment="1">
      <alignment horizontal="center"/>
    </xf>
    <xf numFmtId="171" fontId="108" fillId="6" borderId="106" xfId="0" applyNumberFormat="1" applyFont="1" applyFill="1" applyBorder="1" applyAlignment="1">
      <alignment horizontal="center"/>
    </xf>
    <xf numFmtId="171" fontId="108" fillId="0" borderId="107" xfId="0" applyNumberFormat="1" applyFont="1" applyFill="1" applyBorder="1" applyAlignment="1">
      <alignment horizontal="center"/>
    </xf>
    <xf numFmtId="1" fontId="110" fillId="0" borderId="0" xfId="0" applyNumberFormat="1" applyFont="1"/>
    <xf numFmtId="1" fontId="111" fillId="0" borderId="0" xfId="0" applyNumberFormat="1" applyFont="1"/>
    <xf numFmtId="0" fontId="93" fillId="0" borderId="0" xfId="0" applyFont="1"/>
    <xf numFmtId="0" fontId="66" fillId="17" borderId="0" xfId="0" applyFont="1" applyFill="1"/>
    <xf numFmtId="0" fontId="94" fillId="0" borderId="23" xfId="0" applyFont="1" applyBorder="1"/>
    <xf numFmtId="0" fontId="16" fillId="0" borderId="0" xfId="0" applyFont="1"/>
    <xf numFmtId="0" fontId="16" fillId="0" borderId="23" xfId="0" applyFont="1" applyBorder="1"/>
    <xf numFmtId="0" fontId="97" fillId="0" borderId="23" xfId="0" applyFont="1" applyBorder="1"/>
    <xf numFmtId="170" fontId="99" fillId="0" borderId="23" xfId="0" applyNumberFormat="1" applyFont="1" applyBorder="1"/>
    <xf numFmtId="0" fontId="66" fillId="8" borderId="0" xfId="0" applyFont="1" applyFill="1"/>
    <xf numFmtId="0" fontId="66" fillId="0" borderId="0" xfId="0" applyFont="1"/>
    <xf numFmtId="0" fontId="66" fillId="0" borderId="23" xfId="0" applyFont="1" applyBorder="1"/>
    <xf numFmtId="1" fontId="0" fillId="10" borderId="23" xfId="0" applyNumberFormat="1" applyFill="1" applyBorder="1"/>
    <xf numFmtId="0" fontId="0" fillId="10" borderId="0" xfId="0" applyFill="1"/>
    <xf numFmtId="1" fontId="0" fillId="0" borderId="0" xfId="0" applyNumberFormat="1"/>
    <xf numFmtId="1" fontId="66" fillId="4" borderId="0" xfId="0" applyNumberFormat="1" applyFont="1" applyFill="1"/>
    <xf numFmtId="2" fontId="66" fillId="0" borderId="23" xfId="0" applyNumberFormat="1" applyFont="1" applyBorder="1"/>
    <xf numFmtId="1" fontId="0" fillId="0" borderId="23" xfId="0" applyNumberFormat="1" applyBorder="1"/>
    <xf numFmtId="1" fontId="0" fillId="8" borderId="23" xfId="0" applyNumberFormat="1" applyFill="1" applyBorder="1"/>
    <xf numFmtId="0" fontId="16" fillId="10" borderId="0" xfId="0" applyFont="1" applyFill="1"/>
    <xf numFmtId="1" fontId="0" fillId="9" borderId="23" xfId="0" applyNumberFormat="1" applyFill="1" applyBorder="1"/>
    <xf numFmtId="2" fontId="66" fillId="28" borderId="101" xfId="0" applyNumberFormat="1" applyFont="1" applyFill="1" applyBorder="1"/>
    <xf numFmtId="0" fontId="0" fillId="28" borderId="0" xfId="0" applyFill="1"/>
    <xf numFmtId="0" fontId="0" fillId="17" borderId="0" xfId="0" applyFill="1"/>
    <xf numFmtId="2" fontId="66" fillId="0" borderId="0" xfId="0" applyNumberFormat="1" applyFont="1" applyFill="1" applyBorder="1"/>
    <xf numFmtId="0" fontId="0" fillId="13" borderId="23" xfId="0" applyFill="1" applyBorder="1"/>
    <xf numFmtId="0" fontId="16" fillId="17" borderId="0" xfId="0" applyFont="1" applyFill="1"/>
    <xf numFmtId="1" fontId="0" fillId="17" borderId="0" xfId="0" applyNumberFormat="1" applyFill="1"/>
    <xf numFmtId="1" fontId="66" fillId="0" borderId="0" xfId="0" applyNumberFormat="1" applyFont="1"/>
    <xf numFmtId="1" fontId="0" fillId="4" borderId="23" xfId="0" applyNumberFormat="1" applyFill="1" applyBorder="1"/>
    <xf numFmtId="9" fontId="0" fillId="0" borderId="23" xfId="0" applyNumberFormat="1" applyBorder="1"/>
    <xf numFmtId="1" fontId="0" fillId="29" borderId="23" xfId="0" applyNumberFormat="1" applyFill="1" applyBorder="1"/>
    <xf numFmtId="1" fontId="102" fillId="14" borderId="23" xfId="0" applyNumberFormat="1" applyFont="1" applyFill="1" applyBorder="1"/>
    <xf numFmtId="1" fontId="0" fillId="0" borderId="0" xfId="0" applyNumberFormat="1" applyBorder="1"/>
    <xf numFmtId="1" fontId="66" fillId="17" borderId="0" xfId="0" applyNumberFormat="1" applyFont="1" applyFill="1"/>
    <xf numFmtId="1" fontId="0" fillId="17" borderId="0" xfId="0" applyNumberFormat="1" applyFill="1" applyBorder="1"/>
    <xf numFmtId="167" fontId="0" fillId="0" borderId="0" xfId="0" applyNumberFormat="1"/>
    <xf numFmtId="0" fontId="0" fillId="4" borderId="0" xfId="0" applyFill="1"/>
    <xf numFmtId="1" fontId="16" fillId="8" borderId="0" xfId="0" applyNumberFormat="1" applyFont="1" applyFill="1"/>
    <xf numFmtId="1" fontId="0" fillId="8" borderId="0" xfId="0" applyNumberFormat="1" applyFill="1"/>
    <xf numFmtId="0" fontId="16" fillId="8" borderId="0" xfId="0" applyFont="1" applyFill="1"/>
    <xf numFmtId="0" fontId="0" fillId="8" borderId="0" xfId="0" applyFill="1"/>
    <xf numFmtId="1" fontId="66" fillId="8" borderId="0" xfId="0" applyNumberFormat="1" applyFont="1" applyFill="1"/>
    <xf numFmtId="0" fontId="94" fillId="17" borderId="0" xfId="0" applyFont="1" applyFill="1" applyBorder="1" applyAlignment="1">
      <alignment horizontal="center"/>
    </xf>
    <xf numFmtId="0" fontId="94" fillId="17" borderId="5" xfId="0" applyFont="1" applyFill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66" fillId="30" borderId="0" xfId="0" applyFont="1" applyFill="1"/>
    <xf numFmtId="9" fontId="66" fillId="0" borderId="0" xfId="0" applyNumberFormat="1" applyFont="1"/>
    <xf numFmtId="170" fontId="0" fillId="0" borderId="0" xfId="0" applyNumberFormat="1"/>
    <xf numFmtId="167" fontId="66" fillId="0" borderId="0" xfId="0" applyNumberFormat="1" applyFont="1"/>
    <xf numFmtId="9" fontId="0" fillId="0" borderId="0" xfId="0" applyNumberFormat="1"/>
    <xf numFmtId="0" fontId="16" fillId="0" borderId="0" xfId="0" applyFont="1" applyAlignment="1">
      <alignment wrapText="1"/>
    </xf>
    <xf numFmtId="0" fontId="103" fillId="0" borderId="0" xfId="0" applyFont="1"/>
    <xf numFmtId="167" fontId="0" fillId="29" borderId="0" xfId="0" applyNumberFormat="1" applyFill="1"/>
    <xf numFmtId="0" fontId="104" fillId="0" borderId="0" xfId="0" applyFont="1"/>
    <xf numFmtId="0" fontId="112" fillId="33" borderId="58" xfId="0" applyFont="1" applyFill="1" applyBorder="1" applyAlignment="1">
      <alignment horizontal="justify" vertical="top" wrapText="1"/>
    </xf>
    <xf numFmtId="0" fontId="112" fillId="33" borderId="65" xfId="0" applyFont="1" applyFill="1" applyBorder="1" applyAlignment="1">
      <alignment horizontal="center" vertical="top" wrapText="1"/>
    </xf>
    <xf numFmtId="0" fontId="113" fillId="0" borderId="68" xfId="0" applyFont="1" applyBorder="1" applyAlignment="1">
      <alignment vertical="top" wrapText="1"/>
    </xf>
    <xf numFmtId="3" fontId="113" fillId="0" borderId="20" xfId="0" applyNumberFormat="1" applyFont="1" applyBorder="1" applyAlignment="1">
      <alignment vertical="top" wrapText="1"/>
    </xf>
    <xf numFmtId="9" fontId="113" fillId="0" borderId="58" xfId="15" applyFont="1" applyBorder="1" applyAlignment="1">
      <alignment vertical="top" wrapText="1"/>
    </xf>
    <xf numFmtId="0" fontId="112" fillId="0" borderId="58" xfId="0" applyFont="1" applyBorder="1" applyAlignment="1">
      <alignment horizontal="justify" vertical="top" wrapText="1"/>
    </xf>
    <xf numFmtId="0" fontId="112" fillId="33" borderId="58" xfId="0" applyFont="1" applyFill="1" applyBorder="1" applyAlignment="1">
      <alignment horizontal="center" vertical="top" wrapText="1"/>
    </xf>
    <xf numFmtId="0" fontId="113" fillId="0" borderId="68" xfId="0" applyFont="1" applyBorder="1" applyAlignment="1">
      <alignment horizontal="right" vertical="top" wrapText="1"/>
    </xf>
    <xf numFmtId="0" fontId="0" fillId="17" borderId="0" xfId="0" applyFill="1" applyBorder="1"/>
    <xf numFmtId="0" fontId="3" fillId="19" borderId="0" xfId="26" applyFont="1" applyFill="1" applyBorder="1"/>
    <xf numFmtId="167" fontId="46" fillId="19" borderId="34" xfId="29" applyNumberFormat="1" applyFont="1" applyFill="1" applyBorder="1"/>
    <xf numFmtId="167" fontId="71" fillId="19" borderId="34" xfId="26" applyNumberFormat="1" applyFont="1" applyFill="1" applyBorder="1"/>
    <xf numFmtId="3" fontId="34" fillId="19" borderId="34" xfId="26" applyNumberFormat="1" applyFont="1" applyFill="1" applyBorder="1"/>
    <xf numFmtId="3" fontId="40" fillId="19" borderId="34" xfId="26" applyNumberFormat="1" applyFont="1" applyFill="1" applyBorder="1"/>
    <xf numFmtId="3" fontId="80" fillId="19" borderId="34" xfId="26" applyNumberFormat="1" applyFont="1" applyFill="1" applyBorder="1"/>
    <xf numFmtId="167" fontId="25" fillId="19" borderId="34" xfId="29" applyNumberFormat="1" applyFont="1" applyFill="1" applyBorder="1"/>
    <xf numFmtId="167" fontId="25" fillId="19" borderId="0" xfId="29" applyNumberFormat="1" applyFont="1" applyFill="1" applyBorder="1"/>
    <xf numFmtId="0" fontId="6" fillId="19" borderId="0" xfId="26" applyFill="1" applyBorder="1"/>
    <xf numFmtId="3" fontId="79" fillId="19" borderId="34" xfId="26" applyNumberFormat="1" applyFont="1" applyFill="1" applyBorder="1"/>
    <xf numFmtId="1" fontId="47" fillId="19" borderId="34" xfId="29" applyNumberFormat="1" applyFont="1" applyFill="1" applyBorder="1"/>
    <xf numFmtId="1" fontId="47" fillId="19" borderId="0" xfId="29" applyNumberFormat="1" applyFont="1" applyFill="1" applyBorder="1"/>
    <xf numFmtId="9" fontId="16" fillId="0" borderId="0" xfId="34" applyNumberFormat="1"/>
    <xf numFmtId="9" fontId="16" fillId="6" borderId="0" xfId="34" applyNumberFormat="1" applyFill="1"/>
    <xf numFmtId="3" fontId="16" fillId="0" borderId="0" xfId="34" applyNumberFormat="1"/>
    <xf numFmtId="3" fontId="117" fillId="0" borderId="19" xfId="34" applyNumberFormat="1" applyFont="1" applyBorder="1"/>
    <xf numFmtId="3" fontId="113" fillId="0" borderId="68" xfId="0" applyNumberFormat="1" applyFont="1" applyBorder="1" applyAlignment="1">
      <alignment vertical="top" wrapText="1"/>
    </xf>
    <xf numFmtId="0" fontId="120" fillId="6" borderId="0" xfId="26" applyFont="1" applyFill="1" applyBorder="1"/>
    <xf numFmtId="0" fontId="2" fillId="6" borderId="0" xfId="26" applyFont="1" applyFill="1" applyBorder="1"/>
    <xf numFmtId="0" fontId="121" fillId="0" borderId="58" xfId="0" applyFont="1" applyBorder="1" applyAlignment="1">
      <alignment vertical="top" wrapText="1"/>
    </xf>
    <xf numFmtId="0" fontId="122" fillId="25" borderId="0" xfId="0" applyFont="1" applyFill="1"/>
    <xf numFmtId="0" fontId="8" fillId="25" borderId="0" xfId="0" applyFont="1" applyFill="1"/>
    <xf numFmtId="0" fontId="113" fillId="34" borderId="21" xfId="0" applyFont="1" applyFill="1" applyBorder="1" applyAlignment="1">
      <alignment vertical="top" wrapText="1"/>
    </xf>
    <xf numFmtId="0" fontId="113" fillId="35" borderId="21" xfId="0" applyFont="1" applyFill="1" applyBorder="1" applyAlignment="1">
      <alignment vertical="top" wrapText="1"/>
    </xf>
    <xf numFmtId="0" fontId="113" fillId="36" borderId="21" xfId="0" applyFont="1" applyFill="1" applyBorder="1" applyAlignment="1">
      <alignment vertical="top" wrapText="1"/>
    </xf>
    <xf numFmtId="0" fontId="113" fillId="0" borderId="21" xfId="0" applyFont="1" applyBorder="1" applyAlignment="1">
      <alignment vertical="top" wrapText="1"/>
    </xf>
    <xf numFmtId="0" fontId="112" fillId="33" borderId="3" xfId="0" applyFont="1" applyFill="1" applyBorder="1" applyAlignment="1">
      <alignment horizontal="center" vertical="top" wrapText="1"/>
    </xf>
    <xf numFmtId="0" fontId="112" fillId="33" borderId="5" xfId="0" applyFont="1" applyFill="1" applyBorder="1" applyAlignment="1">
      <alignment horizontal="center" vertical="top" wrapText="1"/>
    </xf>
    <xf numFmtId="3" fontId="113" fillId="0" borderId="0" xfId="0" applyNumberFormat="1" applyFont="1" applyBorder="1" applyAlignment="1">
      <alignment vertical="top" wrapText="1"/>
    </xf>
    <xf numFmtId="0" fontId="0" fillId="0" borderId="0" xfId="31" applyFont="1"/>
    <xf numFmtId="0" fontId="0" fillId="0" borderId="4" xfId="31" applyFont="1" applyBorder="1"/>
    <xf numFmtId="9" fontId="9" fillId="0" borderId="0" xfId="15"/>
    <xf numFmtId="0" fontId="121" fillId="0" borderId="3" xfId="0" applyFont="1" applyBorder="1" applyAlignment="1">
      <alignment vertical="top" wrapText="1"/>
    </xf>
    <xf numFmtId="165" fontId="9" fillId="0" borderId="0" xfId="15" applyNumberFormat="1"/>
    <xf numFmtId="10" fontId="9" fillId="0" borderId="0" xfId="15" applyNumberFormat="1"/>
    <xf numFmtId="9" fontId="9" fillId="0" borderId="0" xfId="15" applyNumberFormat="1"/>
    <xf numFmtId="9" fontId="0" fillId="0" borderId="23" xfId="15" applyFont="1" applyBorder="1"/>
    <xf numFmtId="167" fontId="25" fillId="4" borderId="34" xfId="26" applyNumberFormat="1" applyFont="1" applyFill="1" applyBorder="1" applyAlignment="1">
      <alignment wrapText="1"/>
    </xf>
    <xf numFmtId="0" fontId="9" fillId="4" borderId="23" xfId="7" applyFill="1" applyBorder="1"/>
    <xf numFmtId="2" fontId="0" fillId="0" borderId="23" xfId="0" applyNumberFormat="1" applyBorder="1"/>
    <xf numFmtId="9" fontId="0" fillId="0" borderId="0" xfId="15" applyFont="1"/>
    <xf numFmtId="2" fontId="0" fillId="0" borderId="0" xfId="0" applyNumberFormat="1"/>
    <xf numFmtId="167" fontId="0" fillId="0" borderId="23" xfId="0" applyNumberFormat="1" applyBorder="1"/>
    <xf numFmtId="1" fontId="25" fillId="4" borderId="34" xfId="26" applyNumberFormat="1" applyFont="1" applyFill="1" applyBorder="1" applyAlignment="1">
      <alignment horizontal="left" indent="1"/>
    </xf>
    <xf numFmtId="3" fontId="25" fillId="4" borderId="34" xfId="26" applyNumberFormat="1" applyFont="1" applyFill="1" applyBorder="1" applyAlignment="1">
      <alignment horizontal="right" indent="1"/>
    </xf>
    <xf numFmtId="0" fontId="8" fillId="17" borderId="45" xfId="0" applyFont="1" applyFill="1" applyBorder="1"/>
    <xf numFmtId="0" fontId="124" fillId="0" borderId="0" xfId="0" applyFont="1"/>
    <xf numFmtId="3" fontId="113" fillId="0" borderId="58" xfId="0" applyNumberFormat="1" applyFont="1" applyBorder="1" applyAlignment="1">
      <alignment vertical="top" wrapText="1"/>
    </xf>
    <xf numFmtId="172" fontId="113" fillId="0" borderId="58" xfId="15" applyNumberFormat="1" applyFont="1" applyBorder="1" applyAlignment="1">
      <alignment vertical="top" wrapText="1"/>
    </xf>
    <xf numFmtId="9" fontId="113" fillId="0" borderId="58" xfId="15" applyNumberFormat="1" applyFont="1" applyBorder="1" applyAlignment="1">
      <alignment vertical="top" wrapText="1"/>
    </xf>
    <xf numFmtId="0" fontId="112" fillId="0" borderId="58" xfId="0" applyFont="1" applyBorder="1" applyAlignment="1">
      <alignment horizontal="right" vertical="top" wrapText="1"/>
    </xf>
    <xf numFmtId="1" fontId="113" fillId="0" borderId="58" xfId="15" applyNumberFormat="1" applyFont="1" applyBorder="1" applyAlignment="1">
      <alignment vertical="top" wrapText="1"/>
    </xf>
    <xf numFmtId="0" fontId="112" fillId="0" borderId="58" xfId="0" applyFont="1" applyFill="1" applyBorder="1" applyAlignment="1">
      <alignment horizontal="justify" vertical="top" wrapText="1"/>
    </xf>
    <xf numFmtId="0" fontId="113" fillId="0" borderId="58" xfId="0" applyFont="1" applyBorder="1" applyAlignment="1">
      <alignment vertical="top" wrapText="1"/>
    </xf>
    <xf numFmtId="0" fontId="123" fillId="0" borderId="58" xfId="0" applyFont="1" applyBorder="1" applyAlignment="1">
      <alignment horizontal="right" vertical="top" wrapText="1"/>
    </xf>
    <xf numFmtId="3" fontId="123" fillId="0" borderId="58" xfId="0" applyNumberFormat="1" applyFont="1" applyBorder="1" applyAlignment="1">
      <alignment vertical="top" wrapText="1"/>
    </xf>
    <xf numFmtId="0" fontId="113" fillId="0" borderId="58" xfId="0" applyFont="1" applyBorder="1" applyAlignment="1">
      <alignment horizontal="right" vertical="top" wrapText="1"/>
    </xf>
    <xf numFmtId="2" fontId="113" fillId="0" borderId="58" xfId="0" applyNumberFormat="1" applyFont="1" applyBorder="1" applyAlignment="1">
      <alignment vertical="top" wrapText="1"/>
    </xf>
    <xf numFmtId="0" fontId="2" fillId="4" borderId="0" xfId="26" applyFont="1" applyFill="1" applyBorder="1"/>
    <xf numFmtId="0" fontId="125" fillId="0" borderId="0" xfId="0" applyFont="1"/>
    <xf numFmtId="0" fontId="112" fillId="0" borderId="58" xfId="0" applyFont="1" applyBorder="1" applyAlignment="1">
      <alignment vertical="top" wrapText="1"/>
    </xf>
    <xf numFmtId="3" fontId="112" fillId="0" borderId="58" xfId="0" applyNumberFormat="1" applyFont="1" applyBorder="1" applyAlignment="1">
      <alignment vertical="top" wrapText="1"/>
    </xf>
    <xf numFmtId="173" fontId="113" fillId="0" borderId="58" xfId="15" applyNumberFormat="1" applyFont="1" applyBorder="1" applyAlignment="1">
      <alignment vertical="top" wrapText="1"/>
    </xf>
    <xf numFmtId="0" fontId="113" fillId="36" borderId="23" xfId="0" applyFont="1" applyFill="1" applyBorder="1" applyAlignment="1">
      <alignment vertical="top" wrapText="1"/>
    </xf>
    <xf numFmtId="0" fontId="113" fillId="0" borderId="23" xfId="0" applyFont="1" applyBorder="1" applyAlignment="1">
      <alignment vertical="top" wrapText="1"/>
    </xf>
    <xf numFmtId="0" fontId="112" fillId="33" borderId="5" xfId="0" applyFont="1" applyFill="1" applyBorder="1" applyAlignment="1">
      <alignment horizontal="left" vertical="top"/>
    </xf>
    <xf numFmtId="0" fontId="121" fillId="0" borderId="23" xfId="0" applyFont="1" applyBorder="1" applyAlignment="1">
      <alignment vertical="top" wrapText="1"/>
    </xf>
    <xf numFmtId="0" fontId="112" fillId="33" borderId="23" xfId="0" applyFont="1" applyFill="1" applyBorder="1" applyAlignment="1">
      <alignment horizontal="center" vertical="top" wrapText="1"/>
    </xf>
    <xf numFmtId="0" fontId="34" fillId="4" borderId="23" xfId="0" applyFont="1" applyFill="1" applyBorder="1" applyAlignment="1">
      <alignment vertical="top" wrapText="1"/>
    </xf>
    <xf numFmtId="0" fontId="34" fillId="4" borderId="23" xfId="7" applyFont="1" applyFill="1" applyBorder="1" applyAlignment="1">
      <alignment horizontal="left" indent="1"/>
    </xf>
    <xf numFmtId="0" fontId="34" fillId="4" borderId="23" xfId="7" applyFont="1" applyFill="1" applyBorder="1"/>
    <xf numFmtId="3" fontId="34" fillId="0" borderId="23" xfId="0" applyNumberFormat="1" applyFont="1" applyBorder="1" applyAlignment="1">
      <alignment vertical="top" wrapText="1"/>
    </xf>
    <xf numFmtId="173" fontId="34" fillId="0" borderId="23" xfId="15" applyNumberFormat="1" applyFont="1" applyBorder="1" applyAlignment="1">
      <alignment vertical="top" wrapText="1"/>
    </xf>
    <xf numFmtId="9" fontId="34" fillId="0" borderId="23" xfId="0" applyNumberFormat="1" applyFont="1" applyBorder="1"/>
    <xf numFmtId="1" fontId="34" fillId="0" borderId="23" xfId="0" applyNumberFormat="1" applyFont="1" applyBorder="1"/>
    <xf numFmtId="174" fontId="34" fillId="0" borderId="23" xfId="15" applyNumberFormat="1" applyFont="1" applyBorder="1" applyAlignment="1">
      <alignment vertical="top" wrapText="1"/>
    </xf>
    <xf numFmtId="2" fontId="34" fillId="0" borderId="23" xfId="0" applyNumberFormat="1" applyFont="1" applyBorder="1"/>
    <xf numFmtId="0" fontId="34" fillId="0" borderId="23" xfId="0" applyFont="1" applyBorder="1"/>
    <xf numFmtId="0" fontId="112" fillId="0" borderId="68" xfId="0" applyFont="1" applyBorder="1" applyAlignment="1">
      <alignment vertical="top" wrapText="1"/>
    </xf>
    <xf numFmtId="0" fontId="123" fillId="0" borderId="68" xfId="0" applyFont="1" applyBorder="1" applyAlignment="1">
      <alignment horizontal="right" vertical="top" wrapText="1"/>
    </xf>
    <xf numFmtId="0" fontId="112" fillId="0" borderId="68" xfId="0" applyFont="1" applyBorder="1" applyAlignment="1">
      <alignment horizontal="right" vertical="top" wrapText="1"/>
    </xf>
    <xf numFmtId="0" fontId="113" fillId="0" borderId="68" xfId="0" applyFont="1" applyBorder="1" applyAlignment="1">
      <alignment horizontal="left" vertical="top" wrapText="1"/>
    </xf>
    <xf numFmtId="3" fontId="34" fillId="0" borderId="23" xfId="0" applyNumberFormat="1" applyFont="1" applyBorder="1"/>
    <xf numFmtId="0" fontId="0" fillId="0" borderId="0" xfId="0" applyFont="1"/>
    <xf numFmtId="0" fontId="67" fillId="6" borderId="42" xfId="34" applyFont="1" applyFill="1" applyBorder="1"/>
    <xf numFmtId="3" fontId="35" fillId="19" borderId="75" xfId="34" applyNumberFormat="1" applyFont="1" applyFill="1" applyBorder="1"/>
    <xf numFmtId="1" fontId="16" fillId="0" borderId="0" xfId="34" applyNumberFormat="1"/>
    <xf numFmtId="0" fontId="67" fillId="8" borderId="2" xfId="34" applyFont="1" applyFill="1" applyBorder="1"/>
    <xf numFmtId="0" fontId="35" fillId="0" borderId="1" xfId="0" applyFont="1" applyBorder="1"/>
    <xf numFmtId="0" fontId="67" fillId="0" borderId="2" xfId="0" applyFont="1" applyBorder="1"/>
    <xf numFmtId="0" fontId="35" fillId="0" borderId="3" xfId="0" applyFont="1" applyBorder="1"/>
    <xf numFmtId="1" fontId="35" fillId="0" borderId="23" xfId="0" applyNumberFormat="1" applyFont="1" applyBorder="1"/>
    <xf numFmtId="1" fontId="35" fillId="0" borderId="23" xfId="0" applyNumberFormat="1" applyFont="1" applyBorder="1" applyAlignment="1">
      <alignment horizontal="right"/>
    </xf>
    <xf numFmtId="1" fontId="35" fillId="0" borderId="30" xfId="0" applyNumberFormat="1" applyFont="1" applyBorder="1"/>
    <xf numFmtId="49" fontId="35" fillId="0" borderId="72" xfId="0" applyNumberFormat="1" applyFont="1" applyBorder="1" applyAlignment="1">
      <alignment horizontal="left"/>
    </xf>
    <xf numFmtId="0" fontId="35" fillId="0" borderId="72" xfId="0" applyNumberFormat="1" applyFont="1" applyBorder="1" applyAlignment="1">
      <alignment horizontal="left"/>
    </xf>
    <xf numFmtId="0" fontId="35" fillId="0" borderId="72" xfId="0" applyFont="1" applyBorder="1" applyAlignment="1">
      <alignment horizontal="left"/>
    </xf>
    <xf numFmtId="49" fontId="35" fillId="0" borderId="69" xfId="0" applyNumberFormat="1" applyFont="1" applyBorder="1" applyAlignment="1">
      <alignment horizontal="left"/>
    </xf>
    <xf numFmtId="1" fontId="67" fillId="0" borderId="72" xfId="0" applyNumberFormat="1" applyFont="1" applyBorder="1" applyAlignment="1">
      <alignment horizontal="right"/>
    </xf>
    <xf numFmtId="1" fontId="67" fillId="0" borderId="69" xfId="0" applyNumberFormat="1" applyFont="1" applyBorder="1" applyAlignment="1">
      <alignment horizontal="right"/>
    </xf>
    <xf numFmtId="0" fontId="35" fillId="0" borderId="4" xfId="0" applyFont="1" applyBorder="1" applyAlignment="1">
      <alignment horizontal="left"/>
    </xf>
    <xf numFmtId="3" fontId="35" fillId="8" borderId="23" xfId="34" applyNumberFormat="1" applyFont="1" applyFill="1" applyBorder="1"/>
    <xf numFmtId="0" fontId="67" fillId="6" borderId="42" xfId="34" applyFont="1" applyFill="1" applyBorder="1"/>
    <xf numFmtId="49" fontId="67" fillId="0" borderId="73" xfId="34" applyNumberFormat="1" applyFont="1" applyBorder="1" applyAlignment="1">
      <alignment wrapText="1"/>
    </xf>
    <xf numFmtId="3" fontId="35" fillId="0" borderId="81" xfId="34" applyNumberFormat="1" applyFont="1" applyBorder="1"/>
    <xf numFmtId="167" fontId="67" fillId="6" borderId="42" xfId="34" applyNumberFormat="1" applyFont="1" applyFill="1" applyBorder="1" applyAlignment="1">
      <alignment horizontal="center" vertical="center"/>
    </xf>
    <xf numFmtId="1" fontId="128" fillId="0" borderId="109" xfId="0" applyNumberFormat="1" applyFont="1" applyBorder="1"/>
    <xf numFmtId="167" fontId="128" fillId="0" borderId="109" xfId="0" applyNumberFormat="1" applyFont="1" applyBorder="1"/>
    <xf numFmtId="1" fontId="128" fillId="0" borderId="110" xfId="0" applyNumberFormat="1" applyFont="1" applyBorder="1"/>
    <xf numFmtId="0" fontId="128" fillId="0" borderId="109" xfId="0" applyFont="1" applyBorder="1"/>
    <xf numFmtId="0" fontId="129" fillId="21" borderId="0" xfId="0" applyFont="1" applyFill="1"/>
    <xf numFmtId="0" fontId="0" fillId="0" borderId="108" xfId="0" applyBorder="1"/>
    <xf numFmtId="0" fontId="128" fillId="0" borderId="0" xfId="0" applyFont="1"/>
    <xf numFmtId="0" fontId="67" fillId="8" borderId="42" xfId="34" applyFont="1" applyFill="1" applyBorder="1" applyAlignment="1">
      <alignment wrapText="1"/>
    </xf>
    <xf numFmtId="3" fontId="35" fillId="8" borderId="73" xfId="34" applyNumberFormat="1" applyFont="1" applyFill="1" applyBorder="1"/>
    <xf numFmtId="3" fontId="35" fillId="8" borderId="0" xfId="34" applyNumberFormat="1" applyFont="1" applyFill="1" applyBorder="1"/>
    <xf numFmtId="0" fontId="67" fillId="8" borderId="42" xfId="34" applyFont="1" applyFill="1" applyBorder="1"/>
    <xf numFmtId="3" fontId="35" fillId="8" borderId="0" xfId="34" applyNumberFormat="1" applyFont="1" applyFill="1"/>
    <xf numFmtId="3" fontId="67" fillId="8" borderId="73" xfId="34" applyNumberFormat="1" applyFont="1" applyFill="1" applyBorder="1" applyAlignment="1">
      <alignment wrapText="1"/>
    </xf>
    <xf numFmtId="3" fontId="35" fillId="8" borderId="81" xfId="34" applyNumberFormat="1" applyFont="1" applyFill="1" applyBorder="1"/>
    <xf numFmtId="3" fontId="35" fillId="8" borderId="42" xfId="34" applyNumberFormat="1" applyFont="1" applyFill="1" applyBorder="1"/>
    <xf numFmtId="0" fontId="35" fillId="8" borderId="0" xfId="34" applyFont="1" applyFill="1"/>
    <xf numFmtId="1" fontId="16" fillId="8" borderId="0" xfId="34" applyNumberFormat="1" applyFill="1"/>
    <xf numFmtId="0" fontId="67" fillId="6" borderId="42" xfId="34" applyFont="1" applyFill="1" applyBorder="1"/>
    <xf numFmtId="0" fontId="44" fillId="3" borderId="0" xfId="7" applyFont="1"/>
    <xf numFmtId="0" fontId="45" fillId="3" borderId="32" xfId="7" applyFont="1" applyBorder="1"/>
    <xf numFmtId="1" fontId="46" fillId="3" borderId="34" xfId="7" applyNumberFormat="1" applyFont="1" applyBorder="1"/>
    <xf numFmtId="1" fontId="47" fillId="3" borderId="34" xfId="7" applyNumberFormat="1" applyFont="1" applyBorder="1"/>
    <xf numFmtId="167" fontId="48" fillId="3" borderId="34" xfId="7" applyNumberFormat="1" applyFont="1" applyBorder="1"/>
    <xf numFmtId="1" fontId="48" fillId="3" borderId="34" xfId="7" applyNumberFormat="1" applyFont="1" applyBorder="1"/>
    <xf numFmtId="1" fontId="25" fillId="3" borderId="34" xfId="7" applyNumberFormat="1" applyFont="1" applyBorder="1"/>
    <xf numFmtId="167" fontId="25" fillId="3" borderId="34" xfId="7" applyNumberFormat="1" applyFont="1" applyBorder="1"/>
    <xf numFmtId="1" fontId="42" fillId="3" borderId="0" xfId="7" applyNumberFormat="1" applyFont="1"/>
    <xf numFmtId="1" fontId="27" fillId="15" borderId="34" xfId="0" applyNumberFormat="1" applyFont="1" applyFill="1" applyBorder="1"/>
    <xf numFmtId="1" fontId="27" fillId="10" borderId="34" xfId="0" applyNumberFormat="1" applyFont="1" applyFill="1" applyBorder="1"/>
    <xf numFmtId="167" fontId="25" fillId="10" borderId="34" xfId="0" applyNumberFormat="1" applyFont="1" applyFill="1" applyBorder="1"/>
    <xf numFmtId="1" fontId="25" fillId="4" borderId="34" xfId="0" applyNumberFormat="1" applyFont="1" applyFill="1" applyBorder="1"/>
    <xf numFmtId="1" fontId="25" fillId="10" borderId="34" xfId="0" applyNumberFormat="1" applyFont="1" applyFill="1" applyBorder="1"/>
    <xf numFmtId="0" fontId="25" fillId="4" borderId="34" xfId="0" applyFont="1" applyFill="1" applyBorder="1"/>
    <xf numFmtId="1" fontId="46" fillId="14" borderId="34" xfId="0" applyNumberFormat="1" applyFont="1" applyFill="1" applyBorder="1"/>
    <xf numFmtId="0" fontId="35" fillId="37" borderId="4" xfId="34" applyFont="1" applyFill="1" applyBorder="1" applyAlignment="1">
      <alignment horizontal="left"/>
    </xf>
    <xf numFmtId="1" fontId="35" fillId="37" borderId="23" xfId="34" applyNumberFormat="1" applyFont="1" applyFill="1" applyBorder="1"/>
    <xf numFmtId="1" fontId="67" fillId="37" borderId="72" xfId="34" applyNumberFormat="1" applyFont="1" applyFill="1" applyBorder="1" applyAlignment="1">
      <alignment horizontal="right"/>
    </xf>
    <xf numFmtId="167" fontId="33" fillId="38" borderId="71" xfId="34" applyNumberFormat="1" applyFont="1" applyFill="1" applyBorder="1" applyAlignment="1">
      <alignment horizontal="center"/>
    </xf>
    <xf numFmtId="3" fontId="35" fillId="37" borderId="23" xfId="34" applyNumberFormat="1" applyFont="1" applyFill="1" applyBorder="1"/>
    <xf numFmtId="3" fontId="35" fillId="37" borderId="73" xfId="34" applyNumberFormat="1" applyFont="1" applyFill="1" applyBorder="1"/>
    <xf numFmtId="3" fontId="35" fillId="37" borderId="75" xfId="34" applyNumberFormat="1" applyFont="1" applyFill="1" applyBorder="1"/>
    <xf numFmtId="9" fontId="35" fillId="37" borderId="74" xfId="34" applyNumberFormat="1" applyFont="1" applyFill="1" applyBorder="1"/>
    <xf numFmtId="3" fontId="16" fillId="37" borderId="22" xfId="34" applyNumberFormat="1" applyFill="1" applyBorder="1"/>
    <xf numFmtId="3" fontId="16" fillId="37" borderId="23" xfId="34" applyNumberFormat="1" applyFill="1" applyBorder="1"/>
    <xf numFmtId="3" fontId="16" fillId="37" borderId="73" xfId="34" applyNumberFormat="1" applyFill="1" applyBorder="1"/>
    <xf numFmtId="167" fontId="35" fillId="37" borderId="24" xfId="34" applyNumberFormat="1" applyFont="1" applyFill="1" applyBorder="1"/>
    <xf numFmtId="0" fontId="16" fillId="37" borderId="0" xfId="34" applyFill="1"/>
    <xf numFmtId="0" fontId="76" fillId="0" borderId="23" xfId="0" applyFont="1" applyBorder="1"/>
    <xf numFmtId="49" fontId="76" fillId="0" borderId="23" xfId="0" applyNumberFormat="1" applyFont="1" applyBorder="1" applyAlignment="1">
      <alignment wrapText="1"/>
    </xf>
    <xf numFmtId="0" fontId="76" fillId="0" borderId="23" xfId="0" applyFont="1" applyBorder="1" applyAlignment="1">
      <alignment wrapText="1"/>
    </xf>
    <xf numFmtId="3" fontId="76" fillId="0" borderId="23" xfId="0" applyNumberFormat="1" applyFont="1" applyBorder="1"/>
    <xf numFmtId="168" fontId="76" fillId="0" borderId="23" xfId="0" applyNumberFormat="1" applyFont="1" applyBorder="1"/>
    <xf numFmtId="49" fontId="76" fillId="0" borderId="0" xfId="0" applyNumberFormat="1" applyFont="1" applyBorder="1" applyAlignment="1">
      <alignment wrapText="1"/>
    </xf>
    <xf numFmtId="3" fontId="76" fillId="0" borderId="0" xfId="0" applyNumberFormat="1" applyFont="1" applyBorder="1"/>
    <xf numFmtId="168" fontId="76" fillId="0" borderId="0" xfId="0" applyNumberFormat="1" applyFont="1" applyBorder="1"/>
    <xf numFmtId="49" fontId="76" fillId="0" borderId="0" xfId="0" applyNumberFormat="1" applyFont="1" applyAlignment="1">
      <alignment wrapText="1"/>
    </xf>
    <xf numFmtId="0" fontId="76" fillId="0" borderId="0" xfId="0" applyFont="1"/>
    <xf numFmtId="49" fontId="0" fillId="0" borderId="0" xfId="0" applyNumberFormat="1" applyAlignment="1">
      <alignment wrapText="1"/>
    </xf>
    <xf numFmtId="1" fontId="130" fillId="39" borderId="111" xfId="0" applyNumberFormat="1" applyFont="1" applyFill="1" applyBorder="1"/>
    <xf numFmtId="1" fontId="130" fillId="39" borderId="112" xfId="0" applyNumberFormat="1" applyFont="1" applyFill="1" applyBorder="1"/>
    <xf numFmtId="1" fontId="131" fillId="40" borderId="113" xfId="0" applyNumberFormat="1" applyFont="1" applyFill="1" applyBorder="1"/>
    <xf numFmtId="1" fontId="131" fillId="40" borderId="114" xfId="0" applyNumberFormat="1" applyFont="1" applyFill="1" applyBorder="1"/>
    <xf numFmtId="167" fontId="132" fillId="41" borderId="113" xfId="0" applyNumberFormat="1" applyFont="1" applyFill="1" applyBorder="1"/>
    <xf numFmtId="167" fontId="131" fillId="41" borderId="113" xfId="0" applyNumberFormat="1" applyFont="1" applyFill="1" applyBorder="1"/>
    <xf numFmtId="167" fontId="132" fillId="42" borderId="113" xfId="0" applyNumberFormat="1" applyFont="1" applyFill="1" applyBorder="1"/>
    <xf numFmtId="167" fontId="113" fillId="41" borderId="113" xfId="0" applyNumberFormat="1" applyFont="1" applyFill="1" applyBorder="1"/>
    <xf numFmtId="1" fontId="113" fillId="0" borderId="113" xfId="0" applyNumberFormat="1" applyFont="1" applyBorder="1"/>
    <xf numFmtId="1" fontId="113" fillId="41" borderId="113" xfId="0" applyNumberFormat="1" applyFont="1" applyFill="1" applyBorder="1"/>
    <xf numFmtId="1" fontId="113" fillId="42" borderId="113" xfId="0" applyNumberFormat="1" applyFont="1" applyFill="1" applyBorder="1"/>
    <xf numFmtId="1" fontId="130" fillId="39" borderId="113" xfId="0" applyNumberFormat="1" applyFont="1" applyFill="1" applyBorder="1"/>
    <xf numFmtId="1" fontId="132" fillId="41" borderId="113" xfId="0" applyNumberFormat="1" applyFont="1" applyFill="1" applyBorder="1"/>
    <xf numFmtId="1" fontId="132" fillId="42" borderId="113" xfId="0" applyNumberFormat="1" applyFont="1" applyFill="1" applyBorder="1"/>
    <xf numFmtId="1" fontId="132" fillId="43" borderId="113" xfId="0" applyNumberFormat="1" applyFont="1" applyFill="1" applyBorder="1"/>
    <xf numFmtId="1" fontId="132" fillId="18" borderId="113" xfId="0" applyNumberFormat="1" applyFont="1" applyFill="1" applyBorder="1"/>
    <xf numFmtId="167" fontId="132" fillId="18" borderId="113" xfId="0" applyNumberFormat="1" applyFont="1" applyFill="1" applyBorder="1"/>
    <xf numFmtId="1" fontId="130" fillId="39" borderId="114" xfId="0" applyNumberFormat="1" applyFont="1" applyFill="1" applyBorder="1"/>
    <xf numFmtId="0" fontId="0" fillId="0" borderId="58" xfId="0" applyFont="1" applyBorder="1"/>
    <xf numFmtId="0" fontId="0" fillId="0" borderId="23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1" fontId="0" fillId="0" borderId="2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1" fillId="19" borderId="0" xfId="26" applyFont="1" applyFill="1" applyBorder="1"/>
    <xf numFmtId="0" fontId="0" fillId="0" borderId="23" xfId="0" applyBorder="1" applyAlignment="1">
      <alignment wrapText="1"/>
    </xf>
    <xf numFmtId="0" fontId="112" fillId="33" borderId="4" xfId="0" applyFont="1" applyFill="1" applyBorder="1" applyAlignment="1">
      <alignment horizontal="center" vertical="top"/>
    </xf>
    <xf numFmtId="1" fontId="25" fillId="6" borderId="34" xfId="26" applyNumberFormat="1" applyFont="1" applyFill="1" applyBorder="1"/>
    <xf numFmtId="1" fontId="0" fillId="9" borderId="23" xfId="0" applyNumberFormat="1" applyFill="1" applyBorder="1" applyAlignment="1">
      <alignment horizontal="center" vertical="center"/>
    </xf>
    <xf numFmtId="3" fontId="0" fillId="9" borderId="23" xfId="0" applyNumberFormat="1" applyFill="1" applyBorder="1" applyAlignment="1">
      <alignment horizontal="center" vertical="center"/>
    </xf>
    <xf numFmtId="0" fontId="8" fillId="8" borderId="0" xfId="0" applyFont="1" applyFill="1"/>
    <xf numFmtId="0" fontId="8" fillId="8" borderId="2" xfId="0" applyFont="1" applyFill="1" applyBorder="1"/>
    <xf numFmtId="0" fontId="8" fillId="8" borderId="0" xfId="0" applyFont="1" applyFill="1" applyBorder="1"/>
    <xf numFmtId="3" fontId="8" fillId="8" borderId="0" xfId="0" applyNumberFormat="1" applyFont="1" applyFill="1" applyBorder="1"/>
    <xf numFmtId="3" fontId="0" fillId="8" borderId="0" xfId="0" applyNumberFormat="1" applyFill="1" applyBorder="1"/>
    <xf numFmtId="3" fontId="0" fillId="8" borderId="2" xfId="0" applyNumberFormat="1" applyFill="1" applyBorder="1"/>
    <xf numFmtId="3" fontId="8" fillId="8" borderId="19" xfId="0" applyNumberFormat="1" applyFont="1" applyFill="1" applyBorder="1"/>
    <xf numFmtId="3" fontId="0" fillId="8" borderId="0" xfId="0" applyNumberFormat="1" applyFill="1"/>
    <xf numFmtId="3" fontId="8" fillId="8" borderId="23" xfId="0" applyNumberFormat="1" applyFont="1" applyFill="1" applyBorder="1"/>
    <xf numFmtId="3" fontId="0" fillId="8" borderId="23" xfId="0" applyNumberFormat="1" applyFill="1" applyBorder="1"/>
    <xf numFmtId="3" fontId="0" fillId="8" borderId="25" xfId="0" applyNumberFormat="1" applyFill="1" applyBorder="1"/>
    <xf numFmtId="3" fontId="0" fillId="8" borderId="28" xfId="0" applyNumberFormat="1" applyFill="1" applyBorder="1"/>
    <xf numFmtId="0" fontId="54" fillId="0" borderId="4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6" fillId="0" borderId="73" xfId="0" applyFont="1" applyBorder="1" applyAlignment="1">
      <alignment horizontal="center"/>
    </xf>
    <xf numFmtId="0" fontId="76" fillId="0" borderId="75" xfId="0" applyFont="1" applyBorder="1" applyAlignment="1">
      <alignment horizontal="center"/>
    </xf>
    <xf numFmtId="0" fontId="76" fillId="0" borderId="100" xfId="0" applyFont="1" applyBorder="1" applyAlignment="1">
      <alignment horizontal="center"/>
    </xf>
    <xf numFmtId="0" fontId="64" fillId="6" borderId="0" xfId="34" applyFont="1" applyFill="1" applyAlignment="1">
      <alignment horizontal="left" wrapText="1"/>
    </xf>
    <xf numFmtId="0" fontId="65" fillId="6" borderId="0" xfId="34" applyFont="1" applyFill="1" applyAlignment="1">
      <alignment horizontal="left" wrapText="1"/>
    </xf>
    <xf numFmtId="0" fontId="64" fillId="0" borderId="0" xfId="34" applyFont="1" applyBorder="1" applyAlignment="1"/>
    <xf numFmtId="0" fontId="66" fillId="0" borderId="46" xfId="34" applyFont="1" applyBorder="1" applyAlignment="1">
      <alignment horizontal="center"/>
    </xf>
    <xf numFmtId="0" fontId="16" fillId="0" borderId="42" xfId="34" applyBorder="1" applyAlignment="1">
      <alignment horizontal="center"/>
    </xf>
    <xf numFmtId="0" fontId="16" fillId="0" borderId="65" xfId="34" applyBorder="1" applyAlignment="1">
      <alignment horizontal="center"/>
    </xf>
    <xf numFmtId="0" fontId="67" fillId="0" borderId="1" xfId="34" applyFont="1" applyBorder="1" applyAlignment="1">
      <alignment horizontal="center"/>
    </xf>
    <xf numFmtId="0" fontId="67" fillId="0" borderId="2" xfId="34" applyFont="1" applyBorder="1" applyAlignment="1">
      <alignment horizontal="center"/>
    </xf>
    <xf numFmtId="0" fontId="67" fillId="0" borderId="3" xfId="34" applyFont="1" applyBorder="1" applyAlignment="1">
      <alignment horizontal="center"/>
    </xf>
    <xf numFmtId="0" fontId="66" fillId="0" borderId="46" xfId="34" applyFont="1" applyBorder="1" applyAlignment="1">
      <alignment horizontal="center" wrapText="1"/>
    </xf>
    <xf numFmtId="0" fontId="66" fillId="0" borderId="42" xfId="34" applyFont="1" applyBorder="1" applyAlignment="1">
      <alignment horizontal="center" wrapText="1"/>
    </xf>
    <xf numFmtId="3" fontId="67" fillId="0" borderId="73" xfId="34" applyNumberFormat="1" applyFont="1" applyBorder="1" applyAlignment="1">
      <alignment horizontal="center"/>
    </xf>
    <xf numFmtId="3" fontId="67" fillId="0" borderId="75" xfId="34" applyNumberFormat="1" applyFont="1" applyBorder="1" applyAlignment="1">
      <alignment horizontal="center"/>
    </xf>
    <xf numFmtId="0" fontId="67" fillId="6" borderId="46" xfId="34" applyFont="1" applyFill="1" applyBorder="1"/>
    <xf numFmtId="0" fontId="67" fillId="6" borderId="42" xfId="34" applyFont="1" applyFill="1" applyBorder="1"/>
    <xf numFmtId="0" fontId="64" fillId="6" borderId="0" xfId="34" applyFont="1" applyFill="1" applyAlignment="1">
      <alignment horizontal="center" wrapText="1"/>
    </xf>
    <xf numFmtId="0" fontId="66" fillId="25" borderId="46" xfId="34" applyFont="1" applyFill="1" applyBorder="1" applyAlignment="1">
      <alignment horizontal="center"/>
    </xf>
    <xf numFmtId="0" fontId="16" fillId="25" borderId="42" xfId="34" applyFill="1" applyBorder="1" applyAlignment="1">
      <alignment horizontal="center"/>
    </xf>
    <xf numFmtId="0" fontId="16" fillId="25" borderId="65" xfId="34" applyFill="1" applyBorder="1" applyAlignment="1">
      <alignment horizontal="center"/>
    </xf>
    <xf numFmtId="0" fontId="91" fillId="0" borderId="92" xfId="29" applyFont="1" applyBorder="1" applyAlignment="1">
      <alignment vertical="center" wrapText="1"/>
    </xf>
    <xf numFmtId="0" fontId="91" fillId="0" borderId="93" xfId="29" applyFont="1" applyBorder="1" applyAlignment="1">
      <alignment vertical="center" wrapText="1"/>
    </xf>
    <xf numFmtId="0" fontId="91" fillId="0" borderId="94" xfId="29" applyFont="1" applyBorder="1" applyAlignment="1">
      <alignment vertical="center" wrapText="1"/>
    </xf>
    <xf numFmtId="0" fontId="91" fillId="0" borderId="95" xfId="29" applyFont="1" applyBorder="1" applyAlignment="1">
      <alignment vertical="center" wrapText="1"/>
    </xf>
    <xf numFmtId="0" fontId="91" fillId="0" borderId="96" xfId="29" applyFont="1" applyBorder="1" applyAlignment="1">
      <alignment vertical="center" wrapText="1"/>
    </xf>
    <xf numFmtId="0" fontId="91" fillId="0" borderId="97" xfId="29" applyFont="1" applyBorder="1" applyAlignment="1">
      <alignment vertical="center" wrapText="1"/>
    </xf>
    <xf numFmtId="0" fontId="91" fillId="0" borderId="98" xfId="29" applyFont="1" applyBorder="1" applyAlignment="1">
      <alignment vertical="center" wrapText="1"/>
    </xf>
    <xf numFmtId="0" fontId="91" fillId="0" borderId="99" xfId="29" applyFont="1" applyBorder="1" applyAlignment="1">
      <alignment vertical="center" wrapText="1"/>
    </xf>
    <xf numFmtId="9" fontId="91" fillId="0" borderId="92" xfId="29" applyNumberFormat="1" applyFont="1" applyBorder="1" applyAlignment="1">
      <alignment vertical="center" wrapText="1"/>
    </xf>
    <xf numFmtId="9" fontId="91" fillId="0" borderId="93" xfId="29" applyNumberFormat="1" applyFont="1" applyBorder="1" applyAlignment="1">
      <alignment vertical="center" wrapText="1"/>
    </xf>
    <xf numFmtId="0" fontId="42" fillId="27" borderId="92" xfId="29" applyFill="1" applyBorder="1" applyAlignment="1">
      <alignment vertical="center" wrapText="1"/>
    </xf>
    <xf numFmtId="0" fontId="42" fillId="27" borderId="93" xfId="29" applyFill="1" applyBorder="1" applyAlignment="1">
      <alignment vertical="center" wrapText="1"/>
    </xf>
    <xf numFmtId="0" fontId="90" fillId="27" borderId="92" xfId="29" applyFont="1" applyFill="1" applyBorder="1" applyAlignment="1">
      <alignment vertical="center" wrapText="1"/>
    </xf>
    <xf numFmtId="0" fontId="90" fillId="27" borderId="93" xfId="29" applyFont="1" applyFill="1" applyBorder="1" applyAlignment="1">
      <alignment vertical="center" wrapText="1"/>
    </xf>
    <xf numFmtId="0" fontId="11" fillId="6" borderId="23" xfId="7" applyFont="1" applyFill="1" applyBorder="1" applyAlignment="1">
      <alignment horizontal="left" vertical="top" wrapText="1"/>
    </xf>
    <xf numFmtId="0" fontId="11" fillId="6" borderId="9" xfId="7" applyFont="1" applyFill="1" applyBorder="1" applyAlignment="1">
      <alignment horizontal="left" vertical="top" wrapText="1"/>
    </xf>
    <xf numFmtId="0" fontId="11" fillId="6" borderId="18" xfId="7" applyFont="1" applyFill="1" applyBorder="1" applyAlignment="1">
      <alignment horizontal="left" vertical="top" wrapText="1"/>
    </xf>
    <xf numFmtId="0" fontId="11" fillId="4" borderId="9" xfId="7" applyFont="1" applyFill="1" applyBorder="1" applyAlignment="1">
      <alignment horizontal="left" vertical="top" wrapText="1"/>
    </xf>
    <xf numFmtId="0" fontId="11" fillId="4" borderId="18" xfId="7" applyFont="1" applyFill="1" applyBorder="1" applyAlignment="1">
      <alignment horizontal="left" vertical="top" wrapText="1"/>
    </xf>
    <xf numFmtId="0" fontId="11" fillId="3" borderId="9" xfId="7" applyFont="1" applyBorder="1" applyAlignment="1">
      <alignment horizontal="left" vertical="top" wrapText="1"/>
    </xf>
    <xf numFmtId="0" fontId="11" fillId="3" borderId="18" xfId="7" applyFont="1" applyBorder="1" applyAlignment="1">
      <alignment horizontal="left" vertical="top" wrapText="1"/>
    </xf>
    <xf numFmtId="49" fontId="94" fillId="0" borderId="73" xfId="0" applyNumberFormat="1" applyFont="1" applyBorder="1" applyAlignment="1">
      <alignment horizontal="center"/>
    </xf>
    <xf numFmtId="49" fontId="0" fillId="0" borderId="75" xfId="0" applyNumberFormat="1" applyBorder="1" applyAlignment="1"/>
    <xf numFmtId="49" fontId="0" fillId="0" borderId="100" xfId="0" applyNumberFormat="1" applyBorder="1" applyAlignment="1"/>
    <xf numFmtId="9" fontId="66" fillId="0" borderId="23" xfId="0" applyNumberFormat="1" applyFont="1" applyBorder="1" applyAlignment="1">
      <alignment horizontal="center"/>
    </xf>
    <xf numFmtId="0" fontId="9" fillId="0" borderId="0" xfId="31" applyAlignment="1">
      <alignment horizontal="center"/>
    </xf>
  </cellXfs>
  <cellStyles count="284">
    <cellStyle name="Calc area" xfId="1"/>
    <cellStyle name="Dezimal 2" xfId="2"/>
    <cellStyle name="Dezimal 2 2" xfId="3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Good" xfId="36" builtinId="26"/>
    <cellStyle name="Good 2" xfId="4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 2" xfId="5"/>
    <cellStyle name="Needs attention" xfId="6"/>
    <cellStyle name="Normaallaad 2" xfId="32"/>
    <cellStyle name="Normaallaad 2 2" xfId="33"/>
    <cellStyle name="Normal" xfId="0" builtinId="0"/>
    <cellStyle name="Normal 10" xfId="27"/>
    <cellStyle name="Normal 11" xfId="29"/>
    <cellStyle name="Normal 2" xfId="7"/>
    <cellStyle name="Normal 2 2" xfId="8"/>
    <cellStyle name="Normal 2 3" xfId="34"/>
    <cellStyle name="Normal 3" xfId="9"/>
    <cellStyle name="Normal 3 2" xfId="31"/>
    <cellStyle name="Normal 4" xfId="10"/>
    <cellStyle name="Normal 4 2" xfId="11"/>
    <cellStyle name="Normal 5" xfId="12"/>
    <cellStyle name="Normal 6" xfId="13"/>
    <cellStyle name="Normal 7" xfId="14"/>
    <cellStyle name="Normal 8" xfId="25"/>
    <cellStyle name="Normal 9" xfId="26"/>
    <cellStyle name="Normal 9 2" xfId="37"/>
    <cellStyle name="Percent" xfId="15" builtinId="5"/>
    <cellStyle name="Percent 2" xfId="28"/>
    <cellStyle name="Percent 3" xfId="30"/>
    <cellStyle name="Percent 4" xfId="35"/>
    <cellStyle name="Prozent 2" xfId="16"/>
    <cellStyle name="Prozent 3" xfId="17"/>
    <cellStyle name="Standard 2" xfId="18"/>
    <cellStyle name="Standard 3" xfId="19"/>
    <cellStyle name="Standard 3 2" xfId="20"/>
    <cellStyle name="Standard 4" xfId="21"/>
    <cellStyle name="User input" xfId="22"/>
    <cellStyle name="User input 2" xfId="23"/>
    <cellStyle name="User input 2 2" xfId="24"/>
  </cellStyles>
  <dxfs count="3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.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left style="medium">
          <color indexed="64"/>
        </left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sz val="11"/>
      </font>
    </dxf>
    <dxf>
      <font>
        <name val="Calibri"/>
        <scheme val="minor"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numFmt numFmtId="0" formatCode="General"/>
    </dxf>
    <dxf>
      <numFmt numFmtId="0" formatCode="General"/>
    </dxf>
    <dxf>
      <font>
        <sz val="11"/>
      </font>
    </dxf>
    <dxf>
      <font>
        <name val="Calibri"/>
        <scheme val="minor"/>
      </font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numFmt numFmtId="30" formatCode="@"/>
      <alignment wrapText="1" readingOrder="0"/>
    </dxf>
    <dxf>
      <font>
        <b/>
      </font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border>
        <left style="medium">
          <color indexed="64"/>
        </left>
        <right style="medium">
          <color indexed="64"/>
        </righ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right" readingOrder="0"/>
    </dxf>
    <dxf>
      <numFmt numFmtId="1" formatCode="0"/>
    </dxf>
    <dxf>
      <numFmt numFmtId="0" formatCode="General"/>
      <fill>
        <patternFill patternType="none">
          <fgColor indexed="64"/>
          <bgColor indexed="65"/>
        </patternFill>
      </fill>
      <alignment horizontal="left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1"/>
      </font>
    </dxf>
    <dxf>
      <font>
        <name val="Calibri"/>
        <scheme val="minor"/>
      </font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numFmt numFmtId="30" formatCode="@"/>
      <alignment wrapText="1" readingOrder="0"/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border>
        <left style="medium">
          <color indexed="64"/>
        </lef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font>
        <b/>
      </font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border>
        <left style="medium">
          <color indexed="64"/>
        </left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sz val="11"/>
      </font>
    </dxf>
    <dxf>
      <font>
        <name val="Calibri"/>
        <scheme val="minor"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i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numFmt numFmtId="0" formatCode="General"/>
    </dxf>
    <dxf>
      <numFmt numFmtId="0" formatCode="General"/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numFmt numFmtId="30" formatCode="@"/>
      <alignment wrapText="1" readingOrder="0"/>
    </dxf>
    <dxf>
      <border>
        <left style="medium">
          <color indexed="64"/>
        </lef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name val="Calibri"/>
        <scheme val="minor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border>
        <left style="medium">
          <color indexed="64"/>
        </left>
        <right style="medium">
          <color indexed="64"/>
        </right>
      </border>
    </dxf>
    <dxf>
      <font>
        <b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alignment wrapText="0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alignment horizontal="right" readingOrder="0"/>
    </dxf>
    <dxf>
      <numFmt numFmtId="1" formatCode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right" readingOrder="0"/>
    </dxf>
    <dxf>
      <numFmt numFmtId="1" formatCode="0"/>
    </dxf>
    <dxf>
      <numFmt numFmtId="0" formatCode="General"/>
      <fill>
        <patternFill patternType="none">
          <fgColor indexed="64"/>
          <bgColor indexed="65"/>
        </patternFill>
      </fill>
      <alignment horizontal="left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z val="11"/>
      </font>
    </dxf>
    <dxf>
      <font>
        <name val="Calibri"/>
        <scheme val="minor"/>
      </font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alignment horizontal="right" readingOrder="0"/>
    </dxf>
    <dxf>
      <font>
        <b/>
      </font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numFmt numFmtId="1" formatCode="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2" formatCode="0.00"/>
    </dxf>
    <dxf>
      <numFmt numFmtId="2" formatCode="0.00"/>
    </dxf>
    <dxf>
      <numFmt numFmtId="30" formatCode="@"/>
      <alignment wrapText="1" readingOrder="0"/>
    </dxf>
  </dxfs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pivotCacheDefinition" Target="pivotCache/pivotCacheDefinition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/>
      <c:barChart>
        <c:barDir val="col"/>
        <c:grouping val="stacked"/>
        <c:ser>
          <c:idx val="0"/>
          <c:order val="0"/>
          <c:tx>
            <c:strRef>
              <c:f>TransportBAU!$AA$6</c:f>
              <c:strCache>
                <c:ptCount val="1"/>
                <c:pt idx="0">
                  <c:v>Elekter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TransportBAU!$AB$6:$AJ$6</c:f>
              <c:numCache>
                <c:formatCode>#,##0.0</c:formatCode>
                <c:ptCount val="9"/>
                <c:pt idx="0">
                  <c:v>5.4455520000000002</c:v>
                </c:pt>
                <c:pt idx="1">
                  <c:v>5.0032523240247233</c:v>
                </c:pt>
                <c:pt idx="2">
                  <c:v>4.9632698387694267</c:v>
                </c:pt>
                <c:pt idx="3">
                  <c:v>7.1194792126714956</c:v>
                </c:pt>
                <c:pt idx="4">
                  <c:v>9.2756885865735637</c:v>
                </c:pt>
                <c:pt idx="5">
                  <c:v>12.549545867157001</c:v>
                </c:pt>
                <c:pt idx="6">
                  <c:v>15.823403147740438</c:v>
                </c:pt>
                <c:pt idx="7">
                  <c:v>17.460331788032153</c:v>
                </c:pt>
                <c:pt idx="8">
                  <c:v>22.37111770890731</c:v>
                </c:pt>
              </c:numCache>
            </c:numRef>
          </c:val>
        </c:ser>
        <c:ser>
          <c:idx val="1"/>
          <c:order val="1"/>
          <c:tx>
            <c:strRef>
              <c:f>TransportBAU!$AA$7</c:f>
              <c:strCache>
                <c:ptCount val="1"/>
                <c:pt idx="0">
                  <c:v>Bensiin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TransportBAU!$AB$7:$AJ$7</c:f>
              <c:numCache>
                <c:formatCode>#,##0.0</c:formatCode>
                <c:ptCount val="9"/>
                <c:pt idx="0">
                  <c:v>250.80952845959044</c:v>
                </c:pt>
                <c:pt idx="1">
                  <c:v>307.29675882540221</c:v>
                </c:pt>
                <c:pt idx="2">
                  <c:v>363.783989191214</c:v>
                </c:pt>
                <c:pt idx="3">
                  <c:v>355.92022298514735</c:v>
                </c:pt>
                <c:pt idx="4">
                  <c:v>348.0564567790808</c:v>
                </c:pt>
                <c:pt idx="5">
                  <c:v>318.41629625720668</c:v>
                </c:pt>
                <c:pt idx="6">
                  <c:v>288.7761357353325</c:v>
                </c:pt>
                <c:pt idx="7">
                  <c:v>273.95605547439544</c:v>
                </c:pt>
                <c:pt idx="8">
                  <c:v>229.49581469158423</c:v>
                </c:pt>
              </c:numCache>
            </c:numRef>
          </c:val>
        </c:ser>
        <c:ser>
          <c:idx val="2"/>
          <c:order val="2"/>
          <c:tx>
            <c:strRef>
              <c:f>TransportBAU!$AA$8</c:f>
              <c:strCache>
                <c:ptCount val="1"/>
                <c:pt idx="0">
                  <c:v>Diisel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TransportBAU!$AB$8:$AJ$8</c:f>
              <c:numCache>
                <c:formatCode>#,##0.0</c:formatCode>
                <c:ptCount val="9"/>
                <c:pt idx="0">
                  <c:v>457.5454942624952</c:v>
                </c:pt>
                <c:pt idx="1">
                  <c:v>483.35281011162778</c:v>
                </c:pt>
                <c:pt idx="2">
                  <c:v>509.16012596076047</c:v>
                </c:pt>
                <c:pt idx="3">
                  <c:v>578.41347061064027</c:v>
                </c:pt>
                <c:pt idx="4">
                  <c:v>647.66681526052002</c:v>
                </c:pt>
                <c:pt idx="5">
                  <c:v>626.28748871304742</c:v>
                </c:pt>
                <c:pt idx="6">
                  <c:v>604.90816216557482</c:v>
                </c:pt>
                <c:pt idx="7">
                  <c:v>594.21849889183852</c:v>
                </c:pt>
                <c:pt idx="8">
                  <c:v>562.14950907062962</c:v>
                </c:pt>
              </c:numCache>
            </c:numRef>
          </c:val>
        </c:ser>
        <c:ser>
          <c:idx val="3"/>
          <c:order val="3"/>
          <c:tx>
            <c:strRef>
              <c:f>TransportBAU!$AA$9</c:f>
              <c:strCache>
                <c:ptCount val="1"/>
                <c:pt idx="0">
                  <c:v>Maagaas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TransportBAU!$AB$9:$AJ$9</c:f>
              <c:numCache>
                <c:formatCode>#,##0.0</c:formatCode>
                <c:ptCount val="9"/>
                <c:pt idx="0">
                  <c:v>0</c:v>
                </c:pt>
                <c:pt idx="1">
                  <c:v>4.7673623613972396</c:v>
                </c:pt>
                <c:pt idx="2">
                  <c:v>9.5347247227944791</c:v>
                </c:pt>
                <c:pt idx="3">
                  <c:v>23.012039533059443</c:v>
                </c:pt>
                <c:pt idx="4">
                  <c:v>36.489354343324408</c:v>
                </c:pt>
                <c:pt idx="5">
                  <c:v>38.473741363790133</c:v>
                </c:pt>
                <c:pt idx="6">
                  <c:v>40.458128384255865</c:v>
                </c:pt>
                <c:pt idx="7">
                  <c:v>41.450321894488731</c:v>
                </c:pt>
                <c:pt idx="8">
                  <c:v>44.426902425187322</c:v>
                </c:pt>
              </c:numCache>
            </c:numRef>
          </c:val>
        </c:ser>
        <c:ser>
          <c:idx val="4"/>
          <c:order val="4"/>
          <c:tx>
            <c:strRef>
              <c:f>TransportBAU!$AA$10</c:f>
              <c:strCache>
                <c:ptCount val="1"/>
                <c:pt idx="0">
                  <c:v>Etanool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TransportBAU!$AB$10:$AJ$10</c:f>
              <c:numCache>
                <c:formatCode>#,##0.0</c:formatCode>
                <c:ptCount val="9"/>
                <c:pt idx="0">
                  <c:v>0</c:v>
                </c:pt>
                <c:pt idx="1">
                  <c:v>13.779696560273255</c:v>
                </c:pt>
                <c:pt idx="2">
                  <c:v>27.55939312054651</c:v>
                </c:pt>
                <c:pt idx="3">
                  <c:v>28.282048926068288</c:v>
                </c:pt>
                <c:pt idx="4">
                  <c:v>29.004704731590067</c:v>
                </c:pt>
                <c:pt idx="5">
                  <c:v>27.608013617355414</c:v>
                </c:pt>
                <c:pt idx="6">
                  <c:v>26.211322503120762</c:v>
                </c:pt>
                <c:pt idx="7">
                  <c:v>25.512976946003437</c:v>
                </c:pt>
                <c:pt idx="8">
                  <c:v>23.417940274651457</c:v>
                </c:pt>
              </c:numCache>
            </c:numRef>
          </c:val>
        </c:ser>
        <c:ser>
          <c:idx val="5"/>
          <c:order val="5"/>
          <c:tx>
            <c:strRef>
              <c:f>TransportBAU!$AA$11</c:f>
              <c:strCache>
                <c:ptCount val="1"/>
                <c:pt idx="0">
                  <c:v>Biodiisel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TransportBAU!$AB$11:$AJ$11</c:f>
              <c:numCache>
                <c:formatCode>#,##0.0</c:formatCode>
                <c:ptCount val="9"/>
                <c:pt idx="0">
                  <c:v>0</c:v>
                </c:pt>
                <c:pt idx="1">
                  <c:v>27.84806319112478</c:v>
                </c:pt>
                <c:pt idx="2">
                  <c:v>55.69612638224956</c:v>
                </c:pt>
                <c:pt idx="3">
                  <c:v>64.209566191176961</c:v>
                </c:pt>
                <c:pt idx="4">
                  <c:v>72.723006000104348</c:v>
                </c:pt>
                <c:pt idx="5">
                  <c:v>67.465567017071436</c:v>
                </c:pt>
                <c:pt idx="6">
                  <c:v>62.208128034038523</c:v>
                </c:pt>
                <c:pt idx="7">
                  <c:v>59.579408542522081</c:v>
                </c:pt>
                <c:pt idx="8">
                  <c:v>51.69325006797272</c:v>
                </c:pt>
              </c:numCache>
            </c:numRef>
          </c:val>
        </c:ser>
        <c:ser>
          <c:idx val="6"/>
          <c:order val="6"/>
          <c:tx>
            <c:strRef>
              <c:f>TransportBAU!$AA$12</c:f>
              <c:strCache>
                <c:ptCount val="1"/>
                <c:pt idx="0">
                  <c:v>Biometaan</c:v>
                </c:pt>
              </c:strCache>
            </c:strRef>
          </c:tx>
          <c:cat>
            <c:strRef>
              <c:f>TransportBAU!$AB$4:$AJ$5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TransportBAU!$AB$12:$AJ$12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overlap val="100"/>
        <c:axId val="50705152"/>
        <c:axId val="50706688"/>
      </c:barChart>
      <c:catAx>
        <c:axId val="50705152"/>
        <c:scaling>
          <c:orientation val="minMax"/>
        </c:scaling>
        <c:axPos val="b"/>
        <c:numFmt formatCode="General" sourceLinked="0"/>
        <c:tickLblPos val="nextTo"/>
        <c:crossAx val="50706688"/>
        <c:crossesAt val="0"/>
        <c:auto val="1"/>
        <c:lblAlgn val="ctr"/>
        <c:lblOffset val="100"/>
      </c:catAx>
      <c:valAx>
        <c:axId val="50706688"/>
        <c:scaling>
          <c:orientation val="minMax"/>
        </c:scaling>
        <c:axPos val="l"/>
        <c:majorGridlines/>
        <c:numFmt formatCode="#,##0" sourceLinked="0"/>
        <c:tickLblPos val="nextTo"/>
        <c:crossAx val="507051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88" l="0.70000000000000362" r="0.70000000000000362" t="0.750000000000006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TransportEE!$B$40</c:f>
              <c:strCache>
                <c:ptCount val="1"/>
                <c:pt idx="0">
                  <c:v>Autode import</c:v>
                </c:pt>
              </c:strCache>
            </c:strRef>
          </c:tx>
          <c:xVal>
            <c:strRef>
              <c:f>TransportEE!$C$4:$T$4</c:f>
              <c:strCache>
                <c:ptCount val="18"/>
                <c:pt idx="0">
                  <c:v>Ühik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strCache>
            </c:strRef>
          </c:xVal>
          <c:yVal>
            <c:numRef>
              <c:f>TransportEE!$C$40:$T$40</c:f>
              <c:numCache>
                <c:formatCode>0.0</c:formatCode>
                <c:ptCount val="18"/>
                <c:pt idx="2" formatCode="#,##0">
                  <c:v>655774.92307692312</c:v>
                </c:pt>
                <c:pt idx="3" formatCode="#,##0">
                  <c:v>653195.95333333337</c:v>
                </c:pt>
                <c:pt idx="4" formatCode="#,##0">
                  <c:v>650616.98358974373</c:v>
                </c:pt>
                <c:pt idx="5" formatCode="#,##0">
                  <c:v>648038.01384615386</c:v>
                </c:pt>
                <c:pt idx="6" formatCode="#,##0">
                  <c:v>645459.0441025641</c:v>
                </c:pt>
                <c:pt idx="7" formatCode="#,##0">
                  <c:v>642880.07435897435</c:v>
                </c:pt>
                <c:pt idx="8" formatCode="#,##0">
                  <c:v>645607.64666666673</c:v>
                </c:pt>
                <c:pt idx="9" formatCode="#,##0">
                  <c:v>648335.21897435898</c:v>
                </c:pt>
                <c:pt idx="10" formatCode="#,##0">
                  <c:v>651062.79128205124</c:v>
                </c:pt>
                <c:pt idx="11" formatCode="#,##0">
                  <c:v>653790.36358974362</c:v>
                </c:pt>
                <c:pt idx="12" formatCode="#,##0">
                  <c:v>656517.93589743588</c:v>
                </c:pt>
                <c:pt idx="13" formatCode="#,##0">
                  <c:v>647425.43589743588</c:v>
                </c:pt>
                <c:pt idx="14" formatCode="#,##0">
                  <c:v>638332.93589743588</c:v>
                </c:pt>
                <c:pt idx="15" formatCode="#,##0">
                  <c:v>629240.43589743588</c:v>
                </c:pt>
                <c:pt idx="16" formatCode="#,##0">
                  <c:v>620147.93589743588</c:v>
                </c:pt>
                <c:pt idx="17" formatCode="#,##0">
                  <c:v>611055.43589743588</c:v>
                </c:pt>
              </c:numCache>
            </c:numRef>
          </c:yVal>
        </c:ser>
        <c:ser>
          <c:idx val="1"/>
          <c:order val="1"/>
          <c:tx>
            <c:strRef>
              <c:f>TransportEE!$B$41</c:f>
              <c:strCache>
                <c:ptCount val="1"/>
                <c:pt idx="0">
                  <c:v>Uued siseturule (eraisikud)</c:v>
                </c:pt>
              </c:strCache>
            </c:strRef>
          </c:tx>
          <c:xVal>
            <c:strRef>
              <c:f>TransportEE!$C$4:$T$4</c:f>
              <c:strCache>
                <c:ptCount val="18"/>
                <c:pt idx="0">
                  <c:v>Ühik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strCache>
            </c:strRef>
          </c:xVal>
          <c:yVal>
            <c:numRef>
              <c:f>TransportEE!$C$41:$T$41</c:f>
              <c:numCache>
                <c:formatCode>0.0</c:formatCode>
                <c:ptCount val="18"/>
                <c:pt idx="2" formatCode="#,##0">
                  <c:v>135765.30769230772</c:v>
                </c:pt>
                <c:pt idx="3" formatCode="#,##0">
                  <c:v>140983.45333333337</c:v>
                </c:pt>
                <c:pt idx="4" formatCode="#,##0">
                  <c:v>146201.59897435899</c:v>
                </c:pt>
                <c:pt idx="5" formatCode="#,##0">
                  <c:v>151419.74461538464</c:v>
                </c:pt>
                <c:pt idx="6" formatCode="#,##0">
                  <c:v>156637.89025641026</c:v>
                </c:pt>
                <c:pt idx="7" formatCode="#,##0">
                  <c:v>161856.03589743591</c:v>
                </c:pt>
                <c:pt idx="8" formatCode="#,##0">
                  <c:v>168607.6466666667</c:v>
                </c:pt>
                <c:pt idx="9" formatCode="#,##0">
                  <c:v>175359.25743589745</c:v>
                </c:pt>
                <c:pt idx="10" formatCode="#,##0">
                  <c:v>182110.86820512824</c:v>
                </c:pt>
                <c:pt idx="11" formatCode="#,##0">
                  <c:v>188862.47897435899</c:v>
                </c:pt>
                <c:pt idx="12" formatCode="#,##0">
                  <c:v>195614.08974358978</c:v>
                </c:pt>
                <c:pt idx="13" formatCode="#,##0">
                  <c:v>196084.08974358978</c:v>
                </c:pt>
                <c:pt idx="14" formatCode="#,##0">
                  <c:v>196554.08974358978</c:v>
                </c:pt>
                <c:pt idx="15" formatCode="#,##0">
                  <c:v>197024.08974358978</c:v>
                </c:pt>
                <c:pt idx="16" formatCode="#,##0">
                  <c:v>197494.08974358978</c:v>
                </c:pt>
                <c:pt idx="17" formatCode="#,##0">
                  <c:v>197964.08974358978</c:v>
                </c:pt>
              </c:numCache>
            </c:numRef>
          </c:yVal>
        </c:ser>
        <c:ser>
          <c:idx val="2"/>
          <c:order val="2"/>
          <c:tx>
            <c:strRef>
              <c:f>TransportEE!$B$42</c:f>
              <c:strCache>
                <c:ptCount val="1"/>
                <c:pt idx="0">
                  <c:v>Uued siseturule (ettevõtted)</c:v>
                </c:pt>
              </c:strCache>
            </c:strRef>
          </c:tx>
          <c:xVal>
            <c:strRef>
              <c:f>TransportEE!$C$4:$T$4</c:f>
              <c:strCache>
                <c:ptCount val="18"/>
                <c:pt idx="0">
                  <c:v>Ühik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strCache>
            </c:strRef>
          </c:xVal>
          <c:yVal>
            <c:numRef>
              <c:f>TransportEE!$C$42:$T$42</c:f>
              <c:numCache>
                <c:formatCode>0.0</c:formatCode>
                <c:ptCount val="18"/>
                <c:pt idx="2" formatCode="#,##0">
                  <c:v>271384.61538461543</c:v>
                </c:pt>
                <c:pt idx="3" formatCode="#,##0">
                  <c:v>280800.00000000006</c:v>
                </c:pt>
                <c:pt idx="4" formatCode="#,##0">
                  <c:v>290215.38461538468</c:v>
                </c:pt>
                <c:pt idx="5" formatCode="#,##0">
                  <c:v>299630.76923076925</c:v>
                </c:pt>
                <c:pt idx="6" formatCode="#,##0">
                  <c:v>309046.15384615387</c:v>
                </c:pt>
                <c:pt idx="7" formatCode="#,##0">
                  <c:v>318461.5384615385</c:v>
                </c:pt>
                <c:pt idx="8" formatCode="#,##0">
                  <c:v>324000</c:v>
                </c:pt>
                <c:pt idx="9" formatCode="#,##0">
                  <c:v>329538.46153846156</c:v>
                </c:pt>
                <c:pt idx="10" formatCode="#,##0">
                  <c:v>335076.92307692306</c:v>
                </c:pt>
                <c:pt idx="11" formatCode="#,##0">
                  <c:v>340615.38461538462</c:v>
                </c:pt>
                <c:pt idx="12" formatCode="#,##0">
                  <c:v>346153.84615384613</c:v>
                </c:pt>
                <c:pt idx="13" formatCode="#,##0">
                  <c:v>346153.84615384613</c:v>
                </c:pt>
                <c:pt idx="14" formatCode="#,##0">
                  <c:v>346153.84615384613</c:v>
                </c:pt>
                <c:pt idx="15" formatCode="#,##0">
                  <c:v>346153.84615384613</c:v>
                </c:pt>
                <c:pt idx="16" formatCode="#,##0">
                  <c:v>346153.84615384613</c:v>
                </c:pt>
                <c:pt idx="17" formatCode="#,##0">
                  <c:v>346153.84615384613</c:v>
                </c:pt>
              </c:numCache>
            </c:numRef>
          </c:yVal>
        </c:ser>
        <c:ser>
          <c:idx val="3"/>
          <c:order val="3"/>
          <c:tx>
            <c:strRef>
              <c:f>TransportEE!$B$43</c:f>
              <c:strCache>
                <c:ptCount val="1"/>
                <c:pt idx="0">
                  <c:v>Kasutatud siseturule (eraisikud)</c:v>
                </c:pt>
              </c:strCache>
            </c:strRef>
          </c:tx>
          <c:xVal>
            <c:strRef>
              <c:f>TransportEE!$C$4:$T$4</c:f>
              <c:strCache>
                <c:ptCount val="18"/>
                <c:pt idx="0">
                  <c:v>Ühik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strCache>
            </c:strRef>
          </c:xVal>
          <c:yVal>
            <c:numRef>
              <c:f>TransportEE!$C$43:$T$43</c:f>
              <c:numCache>
                <c:formatCode>0.0</c:formatCode>
                <c:ptCount val="18"/>
                <c:pt idx="2" formatCode="#,##0">
                  <c:v>175500</c:v>
                </c:pt>
                <c:pt idx="3" formatCode="#,##0">
                  <c:v>163350</c:v>
                </c:pt>
                <c:pt idx="4" formatCode="#,##0">
                  <c:v>151200</c:v>
                </c:pt>
                <c:pt idx="5" formatCode="#,##0">
                  <c:v>139050</c:v>
                </c:pt>
                <c:pt idx="6" formatCode="#,##0">
                  <c:v>126900</c:v>
                </c:pt>
                <c:pt idx="7" formatCode="#,##0">
                  <c:v>114750</c:v>
                </c:pt>
                <c:pt idx="8" formatCode="#,##0">
                  <c:v>108000</c:v>
                </c:pt>
                <c:pt idx="9" formatCode="#,##0">
                  <c:v>101250</c:v>
                </c:pt>
                <c:pt idx="10" formatCode="#,##0">
                  <c:v>94500</c:v>
                </c:pt>
                <c:pt idx="11" formatCode="#,##0">
                  <c:v>87750</c:v>
                </c:pt>
                <c:pt idx="12" formatCode="#,##0">
                  <c:v>81000</c:v>
                </c:pt>
                <c:pt idx="13" formatCode="#,##0">
                  <c:v>74250</c:v>
                </c:pt>
                <c:pt idx="14" formatCode="#,##0">
                  <c:v>67500</c:v>
                </c:pt>
                <c:pt idx="15" formatCode="#,##0">
                  <c:v>60750</c:v>
                </c:pt>
                <c:pt idx="16" formatCode="#,##0">
                  <c:v>54000</c:v>
                </c:pt>
                <c:pt idx="17" formatCode="#,##0">
                  <c:v>47250</c:v>
                </c:pt>
              </c:numCache>
            </c:numRef>
          </c:yVal>
        </c:ser>
        <c:ser>
          <c:idx val="4"/>
          <c:order val="4"/>
          <c:tx>
            <c:strRef>
              <c:f>TransportEE!$B$44</c:f>
              <c:strCache>
                <c:ptCount val="1"/>
                <c:pt idx="0">
                  <c:v>Kasutatud siseturule (ettevõtted)</c:v>
                </c:pt>
              </c:strCache>
            </c:strRef>
          </c:tx>
          <c:xVal>
            <c:strRef>
              <c:f>TransportEE!$C$4:$T$4</c:f>
              <c:strCache>
                <c:ptCount val="18"/>
                <c:pt idx="0">
                  <c:v>Ühik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strCache>
            </c:strRef>
          </c:xVal>
          <c:yVal>
            <c:numRef>
              <c:f>TransportEE!$C$44:$T$44</c:f>
              <c:numCache>
                <c:formatCode>0.0</c:formatCode>
                <c:ptCount val="18"/>
                <c:pt idx="2" formatCode="#,##0">
                  <c:v>73125</c:v>
                </c:pt>
                <c:pt idx="3" formatCode="#,##0">
                  <c:v>68062.5</c:v>
                </c:pt>
                <c:pt idx="4" formatCode="#,##0">
                  <c:v>63000</c:v>
                </c:pt>
                <c:pt idx="5" formatCode="#,##0">
                  <c:v>57937.5</c:v>
                </c:pt>
                <c:pt idx="6" formatCode="#,##0">
                  <c:v>52875</c:v>
                </c:pt>
                <c:pt idx="7" formatCode="#,##0">
                  <c:v>47812.5</c:v>
                </c:pt>
                <c:pt idx="8" formatCode="#,##0">
                  <c:v>45000</c:v>
                </c:pt>
                <c:pt idx="9" formatCode="#,##0">
                  <c:v>42187.5</c:v>
                </c:pt>
                <c:pt idx="10" formatCode="#,##0">
                  <c:v>39375</c:v>
                </c:pt>
                <c:pt idx="11" formatCode="#,##0">
                  <c:v>36562.5</c:v>
                </c:pt>
                <c:pt idx="12" formatCode="#,##0">
                  <c:v>33750</c:v>
                </c:pt>
                <c:pt idx="13" formatCode="#,##0">
                  <c:v>30937.5</c:v>
                </c:pt>
                <c:pt idx="14" formatCode="#,##0">
                  <c:v>28125</c:v>
                </c:pt>
                <c:pt idx="15" formatCode="#,##0">
                  <c:v>25312.5</c:v>
                </c:pt>
                <c:pt idx="16" formatCode="#,##0">
                  <c:v>22500</c:v>
                </c:pt>
                <c:pt idx="17" formatCode="#,##0">
                  <c:v>19687.5</c:v>
                </c:pt>
              </c:numCache>
            </c:numRef>
          </c:yVal>
        </c:ser>
        <c:axId val="76695808"/>
        <c:axId val="76722176"/>
      </c:scatterChart>
      <c:valAx>
        <c:axId val="76695808"/>
        <c:scaling>
          <c:orientation val="minMax"/>
        </c:scaling>
        <c:axPos val="b"/>
        <c:tickLblPos val="nextTo"/>
        <c:crossAx val="76722176"/>
        <c:crosses val="autoZero"/>
        <c:crossBetween val="midCat"/>
      </c:valAx>
      <c:valAx>
        <c:axId val="76722176"/>
        <c:scaling>
          <c:orientation val="minMax"/>
        </c:scaling>
        <c:axPos val="l"/>
        <c:majorGridlines/>
        <c:numFmt formatCode="0.0" sourceLinked="1"/>
        <c:tickLblPos val="nextTo"/>
        <c:crossAx val="7669580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 sz="1400"/>
            </a:pPr>
            <a:r>
              <a:rPr lang="et-EE" sz="1400"/>
              <a:t>Transpordi</a:t>
            </a:r>
            <a:r>
              <a:rPr lang="et-EE" sz="1400" baseline="0"/>
              <a:t> e</a:t>
            </a:r>
            <a:r>
              <a:rPr lang="et-EE" sz="1400"/>
              <a:t>nergiatarbimine, TJ.</a:t>
            </a:r>
            <a:r>
              <a:rPr lang="et-EE" sz="1400" baseline="0"/>
              <a:t> Energiatõhus</a:t>
            </a:r>
          </a:p>
          <a:p>
            <a:pPr>
              <a:defRPr sz="1400"/>
            </a:pPr>
            <a:endParaRPr lang="et-EE" sz="1400"/>
          </a:p>
        </c:rich>
      </c:tx>
      <c:layout/>
    </c:title>
    <c:plotArea>
      <c:layout/>
      <c:barChart>
        <c:barDir val="col"/>
        <c:grouping val="stacked"/>
        <c:ser>
          <c:idx val="1"/>
          <c:order val="0"/>
          <c:tx>
            <c:strRef>
              <c:f>TransportEE!$B$6</c:f>
              <c:strCache>
                <c:ptCount val="1"/>
                <c:pt idx="0">
                  <c:v>Elekter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TransportEE!$E$6:$X$6</c:f>
              <c:numCache>
                <c:formatCode>#,##0</c:formatCode>
                <c:ptCount val="20"/>
                <c:pt idx="0">
                  <c:v>209.4813399775885</c:v>
                </c:pt>
                <c:pt idx="1">
                  <c:v>214.60782055960999</c:v>
                </c:pt>
                <c:pt idx="2">
                  <c:v>219.73430114163151</c:v>
                </c:pt>
                <c:pt idx="3">
                  <c:v>224.86078172365299</c:v>
                </c:pt>
                <c:pt idx="4">
                  <c:v>229.98726230567451</c:v>
                </c:pt>
                <c:pt idx="5">
                  <c:v>235.11374288769599</c:v>
                </c:pt>
                <c:pt idx="6">
                  <c:v>319.39322280498197</c:v>
                </c:pt>
                <c:pt idx="7">
                  <c:v>403.67270272226796</c:v>
                </c:pt>
                <c:pt idx="8">
                  <c:v>487.95218263955394</c:v>
                </c:pt>
                <c:pt idx="9">
                  <c:v>572.23166255683986</c:v>
                </c:pt>
                <c:pt idx="10">
                  <c:v>656.5111424741259</c:v>
                </c:pt>
                <c:pt idx="11">
                  <c:v>740.79062239141194</c:v>
                </c:pt>
                <c:pt idx="12">
                  <c:v>825.07010230869787</c:v>
                </c:pt>
                <c:pt idx="13">
                  <c:v>909.34958222598391</c:v>
                </c:pt>
                <c:pt idx="14">
                  <c:v>993.62906214326995</c:v>
                </c:pt>
                <c:pt idx="15">
                  <c:v>1077.9085420605559</c:v>
                </c:pt>
                <c:pt idx="16">
                  <c:v>1342.5133645537239</c:v>
                </c:pt>
                <c:pt idx="17">
                  <c:v>1607.1181870468918</c:v>
                </c:pt>
                <c:pt idx="18">
                  <c:v>1739.4205982934759</c:v>
                </c:pt>
                <c:pt idx="19">
                  <c:v>2136.3278320332279</c:v>
                </c:pt>
              </c:numCache>
            </c:numRef>
          </c:val>
        </c:ser>
        <c:ser>
          <c:idx val="2"/>
          <c:order val="1"/>
          <c:tx>
            <c:strRef>
              <c:f>TransportEE!$B$7</c:f>
              <c:strCache>
                <c:ptCount val="1"/>
                <c:pt idx="0">
                  <c:v>Bensiin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TransportEE!$E$7:$X$7</c:f>
              <c:numCache>
                <c:formatCode>#,##0</c:formatCode>
                <c:ptCount val="20"/>
                <c:pt idx="0">
                  <c:v>11429.577206539847</c:v>
                </c:pt>
                <c:pt idx="1">
                  <c:v>11335.287688900362</c:v>
                </c:pt>
                <c:pt idx="2">
                  <c:v>11240.998171260877</c:v>
                </c:pt>
                <c:pt idx="3">
                  <c:v>11146.708653621394</c:v>
                </c:pt>
                <c:pt idx="4">
                  <c:v>11052.419135981909</c:v>
                </c:pt>
                <c:pt idx="5">
                  <c:v>10958.129618342424</c:v>
                </c:pt>
                <c:pt idx="6">
                  <c:v>10353.938507623165</c:v>
                </c:pt>
                <c:pt idx="7">
                  <c:v>9749.7473969039074</c:v>
                </c:pt>
                <c:pt idx="8">
                  <c:v>9145.5562861846483</c:v>
                </c:pt>
                <c:pt idx="9">
                  <c:v>8541.3651754653893</c:v>
                </c:pt>
                <c:pt idx="10">
                  <c:v>7937.1740647461311</c:v>
                </c:pt>
                <c:pt idx="11">
                  <c:v>7332.9829540268729</c:v>
                </c:pt>
                <c:pt idx="12">
                  <c:v>6728.7918433076138</c:v>
                </c:pt>
                <c:pt idx="13">
                  <c:v>6124.6007325883556</c:v>
                </c:pt>
                <c:pt idx="14">
                  <c:v>5520.4096218690975</c:v>
                </c:pt>
                <c:pt idx="15">
                  <c:v>4916.2185111498384</c:v>
                </c:pt>
                <c:pt idx="16">
                  <c:v>4063.2069999071387</c:v>
                </c:pt>
                <c:pt idx="17">
                  <c:v>3210.1954886644389</c:v>
                </c:pt>
                <c:pt idx="18">
                  <c:v>2783.6897330430893</c:v>
                </c:pt>
                <c:pt idx="19">
                  <c:v>1504.1724661790395</c:v>
                </c:pt>
              </c:numCache>
            </c:numRef>
          </c:val>
        </c:ser>
        <c:ser>
          <c:idx val="3"/>
          <c:order val="2"/>
          <c:tx>
            <c:strRef>
              <c:f>TransportEE!$B$8</c:f>
              <c:strCache>
                <c:ptCount val="1"/>
                <c:pt idx="0">
                  <c:v>Diislikütus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TransportEE!$E$8:$X$8</c:f>
              <c:numCache>
                <c:formatCode>#,##0</c:formatCode>
                <c:ptCount val="20"/>
                <c:pt idx="0">
                  <c:v>19075.567583884251</c:v>
                </c:pt>
                <c:pt idx="1">
                  <c:v>18427.011200264616</c:v>
                </c:pt>
                <c:pt idx="2">
                  <c:v>17778.454816644982</c:v>
                </c:pt>
                <c:pt idx="3">
                  <c:v>17129.898433025352</c:v>
                </c:pt>
                <c:pt idx="4">
                  <c:v>16481.342049405717</c:v>
                </c:pt>
                <c:pt idx="5">
                  <c:v>15832.785665786083</c:v>
                </c:pt>
                <c:pt idx="6">
                  <c:v>15530.367328477481</c:v>
                </c:pt>
                <c:pt idx="7">
                  <c:v>15227.948991168882</c:v>
                </c:pt>
                <c:pt idx="8">
                  <c:v>14925.53065386028</c:v>
                </c:pt>
                <c:pt idx="9">
                  <c:v>14623.11231655168</c:v>
                </c:pt>
                <c:pt idx="10">
                  <c:v>14320.693979243079</c:v>
                </c:pt>
                <c:pt idx="11">
                  <c:v>14018.275641934477</c:v>
                </c:pt>
                <c:pt idx="12">
                  <c:v>13715.857304625877</c:v>
                </c:pt>
                <c:pt idx="13">
                  <c:v>13413.438967317275</c:v>
                </c:pt>
                <c:pt idx="14">
                  <c:v>13111.020630008676</c:v>
                </c:pt>
                <c:pt idx="15">
                  <c:v>12808.602292700074</c:v>
                </c:pt>
                <c:pt idx="16">
                  <c:v>10748.090539953164</c:v>
                </c:pt>
                <c:pt idx="17">
                  <c:v>8687.5787872062538</c:v>
                </c:pt>
                <c:pt idx="18">
                  <c:v>7657.3229108327987</c:v>
                </c:pt>
                <c:pt idx="19">
                  <c:v>4566.5552817124335</c:v>
                </c:pt>
              </c:numCache>
            </c:numRef>
          </c:val>
        </c:ser>
        <c:ser>
          <c:idx val="4"/>
          <c:order val="3"/>
          <c:tx>
            <c:strRef>
              <c:f>TransportEE!$B$9</c:f>
              <c:strCache>
                <c:ptCount val="1"/>
                <c:pt idx="0">
                  <c:v>Maagaas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TransportEE!$E$9:$X$9</c:f>
              <c:numCache>
                <c:formatCode>#,##0</c:formatCode>
                <c:ptCount val="20"/>
                <c:pt idx="0">
                  <c:v>339.21154608061659</c:v>
                </c:pt>
                <c:pt idx="1">
                  <c:v>478.41522318844534</c:v>
                </c:pt>
                <c:pt idx="2">
                  <c:v>617.61890029627421</c:v>
                </c:pt>
                <c:pt idx="3">
                  <c:v>756.82257740410296</c:v>
                </c:pt>
                <c:pt idx="4">
                  <c:v>896.02625451193171</c:v>
                </c:pt>
                <c:pt idx="5">
                  <c:v>1035.2299316197605</c:v>
                </c:pt>
                <c:pt idx="6">
                  <c:v>1212.8555343890146</c:v>
                </c:pt>
                <c:pt idx="7">
                  <c:v>1390.4811371582687</c:v>
                </c:pt>
                <c:pt idx="8">
                  <c:v>1568.106739927523</c:v>
                </c:pt>
                <c:pt idx="9">
                  <c:v>1745.7323426967771</c:v>
                </c:pt>
                <c:pt idx="10">
                  <c:v>1923.3579454660312</c:v>
                </c:pt>
                <c:pt idx="11">
                  <c:v>2100.9835482352855</c:v>
                </c:pt>
                <c:pt idx="12">
                  <c:v>2278.6091510045394</c:v>
                </c:pt>
                <c:pt idx="13">
                  <c:v>2456.2347537737937</c:v>
                </c:pt>
                <c:pt idx="14">
                  <c:v>2633.8603565430476</c:v>
                </c:pt>
                <c:pt idx="15">
                  <c:v>2811.4859593123019</c:v>
                </c:pt>
                <c:pt idx="16">
                  <c:v>2527.3314015785741</c:v>
                </c:pt>
                <c:pt idx="17">
                  <c:v>2243.1768438448462</c:v>
                </c:pt>
                <c:pt idx="18">
                  <c:v>2101.0995649779825</c:v>
                </c:pt>
                <c:pt idx="19">
                  <c:v>1674.8677283773909</c:v>
                </c:pt>
              </c:numCache>
            </c:numRef>
          </c:val>
        </c:ser>
        <c:ser>
          <c:idx val="5"/>
          <c:order val="4"/>
          <c:tx>
            <c:strRef>
              <c:f>TransportEE!$B$10</c:f>
              <c:strCache>
                <c:ptCount val="1"/>
                <c:pt idx="0">
                  <c:v>Etanool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TransportEE!$E$10:$X$10</c:f>
              <c:numCache>
                <c:formatCode>#,##0</c:formatCode>
                <c:ptCount val="20"/>
                <c:pt idx="0">
                  <c:v>588.47627728944849</c:v>
                </c:pt>
                <c:pt idx="1">
                  <c:v>689.94361419840732</c:v>
                </c:pt>
                <c:pt idx="2">
                  <c:v>791.41095110736615</c:v>
                </c:pt>
                <c:pt idx="3">
                  <c:v>892.87828801632486</c:v>
                </c:pt>
                <c:pt idx="4">
                  <c:v>994.34562492528369</c:v>
                </c:pt>
                <c:pt idx="5">
                  <c:v>1095.8129618342425</c:v>
                </c:pt>
                <c:pt idx="6">
                  <c:v>1150.1056160224796</c:v>
                </c:pt>
                <c:pt idx="7">
                  <c:v>1204.3982702107166</c:v>
                </c:pt>
                <c:pt idx="8">
                  <c:v>1258.6909243989539</c:v>
                </c:pt>
                <c:pt idx="9">
                  <c:v>1312.983578587191</c:v>
                </c:pt>
                <c:pt idx="10">
                  <c:v>1367.2762327754281</c:v>
                </c:pt>
                <c:pt idx="11">
                  <c:v>1421.5688869636651</c:v>
                </c:pt>
                <c:pt idx="12">
                  <c:v>1475.8615411519022</c:v>
                </c:pt>
                <c:pt idx="13">
                  <c:v>1530.1541953401393</c:v>
                </c:pt>
                <c:pt idx="14">
                  <c:v>1584.4468495283763</c:v>
                </c:pt>
                <c:pt idx="15">
                  <c:v>1638.7395037166134</c:v>
                </c:pt>
                <c:pt idx="16">
                  <c:v>1339.6555444182718</c:v>
                </c:pt>
                <c:pt idx="17">
                  <c:v>1040.5715851199302</c:v>
                </c:pt>
                <c:pt idx="18">
                  <c:v>891.02960547075929</c:v>
                </c:pt>
                <c:pt idx="19">
                  <c:v>442.40366652324684</c:v>
                </c:pt>
              </c:numCache>
            </c:numRef>
          </c:val>
        </c:ser>
        <c:ser>
          <c:idx val="6"/>
          <c:order val="5"/>
          <c:tx>
            <c:strRef>
              <c:f>TransportEE!$B$11</c:f>
              <c:strCache>
                <c:ptCount val="1"/>
                <c:pt idx="0">
                  <c:v>Biodiisel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TransportEE!$E$11:$X$11</c:f>
              <c:numCache>
                <c:formatCode>#,##0</c:formatCode>
                <c:ptCount val="20"/>
                <c:pt idx="0">
                  <c:v>408.44386006507523</c:v>
                </c:pt>
                <c:pt idx="1">
                  <c:v>360.70924663948841</c:v>
                </c:pt>
                <c:pt idx="2">
                  <c:v>312.97463321390154</c:v>
                </c:pt>
                <c:pt idx="3">
                  <c:v>265.24001978831473</c:v>
                </c:pt>
                <c:pt idx="4">
                  <c:v>217.50540636272788</c:v>
                </c:pt>
                <c:pt idx="5">
                  <c:v>169.77079293714104</c:v>
                </c:pt>
                <c:pt idx="6">
                  <c:v>152.79371364342694</c:v>
                </c:pt>
                <c:pt idx="7">
                  <c:v>135.81663434971284</c:v>
                </c:pt>
                <c:pt idx="8">
                  <c:v>118.83955505599872</c:v>
                </c:pt>
                <c:pt idx="9">
                  <c:v>101.86247576228462</c:v>
                </c:pt>
                <c:pt idx="10">
                  <c:v>84.885396468570519</c:v>
                </c:pt>
                <c:pt idx="11">
                  <c:v>67.908317174856421</c:v>
                </c:pt>
                <c:pt idx="12">
                  <c:v>50.931237881142309</c:v>
                </c:pt>
                <c:pt idx="13">
                  <c:v>33.954158587428203</c:v>
                </c:pt>
                <c:pt idx="14">
                  <c:v>16.977079293714098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strRef>
              <c:f>TransportEE!$B$12</c:f>
              <c:strCache>
                <c:ptCount val="1"/>
                <c:pt idx="0">
                  <c:v>Biometaan</c:v>
                </c:pt>
              </c:strCache>
            </c:strRef>
          </c:tx>
          <c:cat>
            <c:numRef>
              <c:f>TransportEE!$E$4:$X$4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TransportEE!$E$12:$X$12</c:f>
              <c:numCache>
                <c:formatCode>#,##0</c:formatCode>
                <c:ptCount val="20"/>
                <c:pt idx="0">
                  <c:v>634.21101468713482</c:v>
                </c:pt>
                <c:pt idx="1">
                  <c:v>895.35998285575386</c:v>
                </c:pt>
                <c:pt idx="2">
                  <c:v>1156.5089510243729</c:v>
                </c:pt>
                <c:pt idx="3">
                  <c:v>1417.6579191929918</c:v>
                </c:pt>
                <c:pt idx="4">
                  <c:v>1678.806887361611</c:v>
                </c:pt>
                <c:pt idx="5">
                  <c:v>1939.9558555302299</c:v>
                </c:pt>
                <c:pt idx="6">
                  <c:v>2346.0007065779346</c:v>
                </c:pt>
                <c:pt idx="7">
                  <c:v>2752.0455576256395</c:v>
                </c:pt>
                <c:pt idx="8">
                  <c:v>3158.0904086733444</c:v>
                </c:pt>
                <c:pt idx="9">
                  <c:v>3564.1352597210489</c:v>
                </c:pt>
                <c:pt idx="10">
                  <c:v>3970.1801107687538</c:v>
                </c:pt>
                <c:pt idx="11">
                  <c:v>4376.2249618164587</c:v>
                </c:pt>
                <c:pt idx="12">
                  <c:v>4782.2698128641632</c:v>
                </c:pt>
                <c:pt idx="13">
                  <c:v>5188.3146639118677</c:v>
                </c:pt>
                <c:pt idx="14">
                  <c:v>5594.3595149595731</c:v>
                </c:pt>
                <c:pt idx="15">
                  <c:v>6000.4043660072775</c:v>
                </c:pt>
                <c:pt idx="16">
                  <c:v>5738.9748386016799</c:v>
                </c:pt>
                <c:pt idx="17">
                  <c:v>5477.5453111960815</c:v>
                </c:pt>
                <c:pt idx="18">
                  <c:v>5346.8305474932822</c:v>
                </c:pt>
                <c:pt idx="19">
                  <c:v>4954.6862563848845</c:v>
                </c:pt>
              </c:numCache>
            </c:numRef>
          </c:val>
        </c:ser>
        <c:gapWidth val="55"/>
        <c:overlap val="100"/>
        <c:axId val="77611008"/>
        <c:axId val="77612544"/>
      </c:barChart>
      <c:catAx>
        <c:axId val="77611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77612544"/>
        <c:crosses val="autoZero"/>
        <c:auto val="1"/>
        <c:lblAlgn val="ctr"/>
        <c:lblOffset val="100"/>
      </c:catAx>
      <c:valAx>
        <c:axId val="77612544"/>
        <c:scaling>
          <c:orientation val="minMax"/>
          <c:max val="50000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776110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/>
          </a:pPr>
          <a:endParaRPr lang="et-EE"/>
        </a:p>
      </c:txPr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>
        <c:manualLayout>
          <c:layoutTarget val="inner"/>
          <c:xMode val="edge"/>
          <c:yMode val="edge"/>
          <c:x val="0.150117618294938"/>
          <c:y val="4.2251312746773885E-2"/>
          <c:w val="0.75497269571370063"/>
          <c:h val="0.72920629943016502"/>
        </c:manualLayout>
      </c:layout>
      <c:barChart>
        <c:barDir val="col"/>
        <c:grouping val="stacked"/>
        <c:ser>
          <c:idx val="0"/>
          <c:order val="0"/>
          <c:val>
            <c:numRef>
              <c:f>TransportEE!$D$24:$T$24</c:f>
              <c:numCache>
                <c:formatCode>#,##0</c:formatCode>
                <c:ptCount val="17"/>
                <c:pt idx="0">
                  <c:v>539917.82378772972</c:v>
                </c:pt>
                <c:pt idx="1">
                  <c:v>613606.76913670916</c:v>
                </c:pt>
                <c:pt idx="2">
                  <c:v>613588.07201480481</c:v>
                </c:pt>
                <c:pt idx="3">
                  <c:v>613569.37489290058</c:v>
                </c:pt>
                <c:pt idx="4">
                  <c:v>613550.67777099612</c:v>
                </c:pt>
                <c:pt idx="5">
                  <c:v>613531.980649092</c:v>
                </c:pt>
                <c:pt idx="6">
                  <c:v>613513.28352718765</c:v>
                </c:pt>
                <c:pt idx="7">
                  <c:v>618427.95892095775</c:v>
                </c:pt>
                <c:pt idx="8">
                  <c:v>623342.63431472797</c:v>
                </c:pt>
                <c:pt idx="9">
                  <c:v>628257.30970849819</c:v>
                </c:pt>
                <c:pt idx="10">
                  <c:v>633171.98510226829</c:v>
                </c:pt>
                <c:pt idx="11">
                  <c:v>638086.6604960385</c:v>
                </c:pt>
                <c:pt idx="12">
                  <c:v>643001.33588980872</c:v>
                </c:pt>
                <c:pt idx="13">
                  <c:v>647916.01128357893</c:v>
                </c:pt>
                <c:pt idx="14">
                  <c:v>652830.68667734915</c:v>
                </c:pt>
                <c:pt idx="15">
                  <c:v>657745.36207111925</c:v>
                </c:pt>
                <c:pt idx="16">
                  <c:v>662660.03746488946</c:v>
                </c:pt>
              </c:numCache>
            </c:numRef>
          </c:val>
        </c:ser>
        <c:ser>
          <c:idx val="1"/>
          <c:order val="1"/>
          <c:val>
            <c:numRef>
              <c:f>TransportEE!$D$25:$T$25</c:f>
              <c:numCache>
                <c:formatCode>#,##0</c:formatCode>
                <c:ptCount val="17"/>
                <c:pt idx="0">
                  <c:v>328754.11424651969</c:v>
                </c:pt>
                <c:pt idx="1">
                  <c:v>357868.18092902761</c:v>
                </c:pt>
                <c:pt idx="2">
                  <c:v>352051.96393859276</c:v>
                </c:pt>
                <c:pt idx="3">
                  <c:v>346235.74694815796</c:v>
                </c:pt>
                <c:pt idx="4">
                  <c:v>340419.52995772311</c:v>
                </c:pt>
                <c:pt idx="5">
                  <c:v>334603.31296728831</c:v>
                </c:pt>
                <c:pt idx="6">
                  <c:v>328787.09597685345</c:v>
                </c:pt>
                <c:pt idx="7">
                  <c:v>321248.90615879861</c:v>
                </c:pt>
                <c:pt idx="8">
                  <c:v>313710.71634074376</c:v>
                </c:pt>
                <c:pt idx="9">
                  <c:v>306172.52652268892</c:v>
                </c:pt>
                <c:pt idx="10">
                  <c:v>298634.33670463407</c:v>
                </c:pt>
                <c:pt idx="11">
                  <c:v>291096.14688657923</c:v>
                </c:pt>
                <c:pt idx="12">
                  <c:v>283557.95706852438</c:v>
                </c:pt>
                <c:pt idx="13">
                  <c:v>276019.76725046954</c:v>
                </c:pt>
                <c:pt idx="14">
                  <c:v>268481.57743241463</c:v>
                </c:pt>
                <c:pt idx="15">
                  <c:v>260943.38761435979</c:v>
                </c:pt>
                <c:pt idx="16">
                  <c:v>253405.19779630494</c:v>
                </c:pt>
              </c:numCache>
            </c:numRef>
          </c:val>
        </c:ser>
        <c:ser>
          <c:idx val="2"/>
          <c:order val="2"/>
          <c:val>
            <c:numRef>
              <c:f>TransportEE!$D$26:$T$26</c:f>
              <c:numCache>
                <c:formatCode>#,##0</c:formatCode>
                <c:ptCount val="17"/>
                <c:pt idx="0">
                  <c:v>92212.805344245047</c:v>
                </c:pt>
                <c:pt idx="1">
                  <c:v>97218.622900270653</c:v>
                </c:pt>
                <c:pt idx="2">
                  <c:v>96902.726170867259</c:v>
                </c:pt>
                <c:pt idx="3">
                  <c:v>96586.829441463866</c:v>
                </c:pt>
                <c:pt idx="4">
                  <c:v>96270.932712060458</c:v>
                </c:pt>
                <c:pt idx="5">
                  <c:v>95955.035982657064</c:v>
                </c:pt>
                <c:pt idx="6">
                  <c:v>95639.13925325367</c:v>
                </c:pt>
                <c:pt idx="7">
                  <c:v>94823.013730115024</c:v>
                </c:pt>
                <c:pt idx="8">
                  <c:v>94006.888206976379</c:v>
                </c:pt>
                <c:pt idx="9">
                  <c:v>93190.762683837718</c:v>
                </c:pt>
                <c:pt idx="10">
                  <c:v>92374.637160699072</c:v>
                </c:pt>
                <c:pt idx="11">
                  <c:v>91558.511637560427</c:v>
                </c:pt>
                <c:pt idx="12">
                  <c:v>90742.386114421781</c:v>
                </c:pt>
                <c:pt idx="13">
                  <c:v>89926.260591283135</c:v>
                </c:pt>
                <c:pt idx="14">
                  <c:v>89110.135068144475</c:v>
                </c:pt>
                <c:pt idx="15">
                  <c:v>88294.009545005829</c:v>
                </c:pt>
                <c:pt idx="16">
                  <c:v>87477.884021867183</c:v>
                </c:pt>
              </c:numCache>
            </c:numRef>
          </c:val>
        </c:ser>
        <c:ser>
          <c:idx val="3"/>
          <c:order val="3"/>
          <c:val>
            <c:numRef>
              <c:f>TransportEE!$D$27:$T$27</c:f>
              <c:numCache>
                <c:formatCode>#,##0</c:formatCode>
                <c:ptCount val="17"/>
                <c:pt idx="0">
                  <c:v>53456.115408201018</c:v>
                </c:pt>
                <c:pt idx="1">
                  <c:v>60751.233144044272</c:v>
                </c:pt>
                <c:pt idx="2">
                  <c:v>60703.015601376159</c:v>
                </c:pt>
                <c:pt idx="3">
                  <c:v>60654.798058708046</c:v>
                </c:pt>
                <c:pt idx="4">
                  <c:v>60606.580516039932</c:v>
                </c:pt>
                <c:pt idx="5">
                  <c:v>60558.362973371819</c:v>
                </c:pt>
                <c:pt idx="6">
                  <c:v>60510.145430703706</c:v>
                </c:pt>
                <c:pt idx="7">
                  <c:v>60710.547060815123</c:v>
                </c:pt>
                <c:pt idx="8">
                  <c:v>60910.94869092654</c:v>
                </c:pt>
                <c:pt idx="9">
                  <c:v>61111.350321037949</c:v>
                </c:pt>
                <c:pt idx="10">
                  <c:v>61311.751951149367</c:v>
                </c:pt>
                <c:pt idx="11">
                  <c:v>61512.153581260784</c:v>
                </c:pt>
                <c:pt idx="12">
                  <c:v>61712.555211372201</c:v>
                </c:pt>
                <c:pt idx="13">
                  <c:v>61912.956841483618</c:v>
                </c:pt>
                <c:pt idx="14">
                  <c:v>62113.358471595027</c:v>
                </c:pt>
                <c:pt idx="15">
                  <c:v>62313.760101706444</c:v>
                </c:pt>
                <c:pt idx="16">
                  <c:v>62514.161731817861</c:v>
                </c:pt>
              </c:numCache>
            </c:numRef>
          </c:val>
        </c:ser>
        <c:overlap val="100"/>
        <c:axId val="77660160"/>
        <c:axId val="77661696"/>
      </c:barChart>
      <c:catAx>
        <c:axId val="77660160"/>
        <c:scaling>
          <c:orientation val="minMax"/>
        </c:scaling>
        <c:axPos val="b"/>
        <c:tickLblPos val="nextTo"/>
        <c:crossAx val="77661696"/>
        <c:crosses val="autoZero"/>
        <c:auto val="1"/>
        <c:lblAlgn val="ctr"/>
        <c:lblOffset val="100"/>
      </c:catAx>
      <c:valAx>
        <c:axId val="77661696"/>
        <c:scaling>
          <c:orientation val="minMax"/>
        </c:scaling>
        <c:axPos val="l"/>
        <c:majorGridlines/>
        <c:numFmt formatCode="#,##0" sourceLinked="1"/>
        <c:tickLblPos val="nextTo"/>
        <c:crossAx val="776601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/>
            </a:pPr>
            <a:r>
              <a:rPr lang="et-EE" sz="1200"/>
              <a:t>Transpordi stsenaariumide kulud kokku 2015-2030</a:t>
            </a:r>
          </a:p>
        </c:rich>
      </c:tx>
      <c:layout>
        <c:manualLayout>
          <c:xMode val="edge"/>
          <c:yMode val="edge"/>
          <c:x val="0.21472226247816228"/>
          <c:y val="2.5263163478527761E-2"/>
        </c:manualLayout>
      </c:layout>
    </c:title>
    <c:plotArea>
      <c:layout>
        <c:manualLayout>
          <c:layoutTarget val="inner"/>
          <c:xMode val="edge"/>
          <c:yMode val="edge"/>
          <c:x val="7.4603325345959218E-2"/>
          <c:y val="0.10568423388517414"/>
          <c:w val="0.67743943817353602"/>
          <c:h val="0.837618861747504"/>
        </c:manualLayout>
      </c:layout>
      <c:barChart>
        <c:barDir val="bar"/>
        <c:grouping val="clustered"/>
        <c:ser>
          <c:idx val="4"/>
          <c:order val="0"/>
          <c:tx>
            <c:strRef>
              <c:f>aruandesse!$A$19</c:f>
              <c:strCache>
                <c:ptCount val="1"/>
                <c:pt idx="0">
                  <c:v>Kulutused kütustele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aruandesse!$B$19:$D$19</c:f>
              <c:numCache>
                <c:formatCode>#,##0</c:formatCode>
                <c:ptCount val="3"/>
                <c:pt idx="0">
                  <c:v>23700</c:v>
                </c:pt>
                <c:pt idx="1">
                  <c:v>20700</c:v>
                </c:pt>
                <c:pt idx="2">
                  <c:v>17500</c:v>
                </c:pt>
              </c:numCache>
            </c:numRef>
          </c:val>
        </c:ser>
        <c:ser>
          <c:idx val="8"/>
          <c:order val="1"/>
          <c:tx>
            <c:strRef>
              <c:f>aruandesse!$A$31</c:f>
              <c:strCache>
                <c:ptCount val="1"/>
                <c:pt idx="0">
                  <c:v>Aktsiisitulu kütustelt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aruandesse!$B$31:$D$31</c:f>
              <c:numCache>
                <c:formatCode>#,##0</c:formatCode>
                <c:ptCount val="3"/>
                <c:pt idx="0">
                  <c:v>7509.9999999999991</c:v>
                </c:pt>
                <c:pt idx="1">
                  <c:v>6160</c:v>
                </c:pt>
                <c:pt idx="2">
                  <c:v>4930</c:v>
                </c:pt>
              </c:numCache>
            </c:numRef>
          </c:val>
        </c:ser>
        <c:ser>
          <c:idx val="0"/>
          <c:order val="2"/>
          <c:tx>
            <c:strRef>
              <c:f>aruandesse!$A$36</c:f>
              <c:strCache>
                <c:ptCount val="1"/>
                <c:pt idx="0">
                  <c:v>Sõiduautode soetamine ja hooldus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aruandesse!$B$36:$D$36</c:f>
              <c:numCache>
                <c:formatCode>#,##0</c:formatCode>
                <c:ptCount val="3"/>
                <c:pt idx="0">
                  <c:v>15610</c:v>
                </c:pt>
                <c:pt idx="1">
                  <c:v>15530.000000000002</c:v>
                </c:pt>
                <c:pt idx="2">
                  <c:v>14800</c:v>
                </c:pt>
              </c:numCache>
            </c:numRef>
          </c:val>
        </c:ser>
        <c:ser>
          <c:idx val="5"/>
          <c:order val="3"/>
          <c:tx>
            <c:strRef>
              <c:f>aruandesse!$A$20</c:f>
              <c:strCache>
                <c:ptCount val="1"/>
                <c:pt idx="0">
                  <c:v>Transpordimaksud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aruandesse!$B$20:$D$20</c:f>
              <c:numCache>
                <c:formatCode>#,##0</c:formatCode>
                <c:ptCount val="3"/>
                <c:pt idx="0">
                  <c:v>400</c:v>
                </c:pt>
                <c:pt idx="1">
                  <c:v>2000</c:v>
                </c:pt>
                <c:pt idx="2">
                  <c:v>3700</c:v>
                </c:pt>
              </c:numCache>
            </c:numRef>
          </c:val>
        </c:ser>
        <c:ser>
          <c:idx val="2"/>
          <c:order val="4"/>
          <c:tx>
            <c:strRef>
              <c:f>aruandesse!$A$17</c:f>
              <c:strCache>
                <c:ptCount val="1"/>
                <c:pt idx="0">
                  <c:v>Taristu hooldus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aruandesse!$B$17:$D$17</c:f>
              <c:numCache>
                <c:formatCode>#,##0</c:formatCode>
                <c:ptCount val="3"/>
                <c:pt idx="0">
                  <c:v>4110</c:v>
                </c:pt>
                <c:pt idx="1">
                  <c:v>4060</c:v>
                </c:pt>
                <c:pt idx="2">
                  <c:v>4130</c:v>
                </c:pt>
              </c:numCache>
            </c:numRef>
          </c:val>
        </c:ser>
        <c:ser>
          <c:idx val="1"/>
          <c:order val="5"/>
          <c:tx>
            <c:strRef>
              <c:f>aruandesse!$A$16</c:f>
              <c:strCache>
                <c:ptCount val="1"/>
                <c:pt idx="0">
                  <c:v>Taristu investeeringud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aruandesse!$B$16:$D$16</c:f>
              <c:numCache>
                <c:formatCode>#,##0</c:formatCode>
                <c:ptCount val="3"/>
                <c:pt idx="0">
                  <c:v>1800</c:v>
                </c:pt>
                <c:pt idx="1">
                  <c:v>1700</c:v>
                </c:pt>
                <c:pt idx="2">
                  <c:v>1500</c:v>
                </c:pt>
              </c:numCache>
            </c:numRef>
          </c:val>
        </c:ser>
        <c:ser>
          <c:idx val="3"/>
          <c:order val="6"/>
          <c:tx>
            <c:strRef>
              <c:f>aruandesse!$A$18</c:f>
              <c:strCache>
                <c:ptCount val="1"/>
                <c:pt idx="0">
                  <c:v>Ühistranspordi toetused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aruandesse!$B$18:$D$18</c:f>
              <c:numCache>
                <c:formatCode>#,##0</c:formatCode>
                <c:ptCount val="3"/>
                <c:pt idx="0">
                  <c:v>1400</c:v>
                </c:pt>
                <c:pt idx="1">
                  <c:v>1500</c:v>
                </c:pt>
                <c:pt idx="2">
                  <c:v>1600</c:v>
                </c:pt>
              </c:numCache>
            </c:numRef>
          </c:val>
        </c:ser>
        <c:ser>
          <c:idx val="6"/>
          <c:order val="7"/>
          <c:tx>
            <c:strRef>
              <c:f>aruandesse!$A$21</c:f>
              <c:strCache>
                <c:ptCount val="1"/>
                <c:pt idx="0">
                  <c:v>Energiasäästu tegevuste kulu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aruandesse!$B$21:$D$21</c:f>
              <c:numCache>
                <c:formatCode>#,##0</c:formatCode>
                <c:ptCount val="3"/>
                <c:pt idx="0">
                  <c:v>0</c:v>
                </c:pt>
                <c:pt idx="1">
                  <c:v>540</c:v>
                </c:pt>
                <c:pt idx="2">
                  <c:v>1010</c:v>
                </c:pt>
              </c:numCache>
            </c:numRef>
          </c:val>
        </c:ser>
        <c:ser>
          <c:idx val="7"/>
          <c:order val="8"/>
          <c:tx>
            <c:strRef>
              <c:f>aruandesse!$A$22</c:f>
              <c:strCache>
                <c:ptCount val="1"/>
                <c:pt idx="0">
                  <c:v>Väliskulud-tulud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aruandesse!$B$30:$D$30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aruandesse!$B$22:$D$22</c:f>
              <c:numCache>
                <c:formatCode>#,##0</c:formatCode>
                <c:ptCount val="3"/>
                <c:pt idx="0">
                  <c:v>2800</c:v>
                </c:pt>
                <c:pt idx="1">
                  <c:v>-100</c:v>
                </c:pt>
                <c:pt idx="2">
                  <c:v>-800</c:v>
                </c:pt>
              </c:numCache>
            </c:numRef>
          </c:val>
        </c:ser>
        <c:dLbls>
          <c:showVal val="1"/>
        </c:dLbls>
        <c:axId val="77864960"/>
        <c:axId val="77866496"/>
      </c:barChart>
      <c:catAx>
        <c:axId val="77864960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050"/>
            </a:pPr>
            <a:endParaRPr lang="et-EE"/>
          </a:p>
        </c:txPr>
        <c:crossAx val="77866496"/>
        <c:crosses val="autoZero"/>
        <c:auto val="1"/>
        <c:lblAlgn val="ctr"/>
        <c:lblOffset val="100"/>
      </c:catAx>
      <c:valAx>
        <c:axId val="77866496"/>
        <c:scaling>
          <c:orientation val="minMax"/>
          <c:max val="25000"/>
          <c:min val="-50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7786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97861555914002"/>
          <c:y val="0.24492532983889528"/>
          <c:w val="0.24626869778614638"/>
          <c:h val="0.57604530740932514"/>
        </c:manualLayout>
      </c:layout>
      <c:txPr>
        <a:bodyPr/>
        <a:lstStyle/>
        <a:p>
          <a:pPr>
            <a:defRPr sz="900"/>
          </a:pPr>
          <a:endParaRPr lang="et-EE"/>
        </a:p>
      </c:txPr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Energiatarbimine transpordis, TJ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515833885250425"/>
          <c:y val="0.19394503803172047"/>
          <c:w val="0.63189000907596804"/>
          <c:h val="0.68305376487994973"/>
        </c:manualLayout>
      </c:layout>
      <c:scatterChart>
        <c:scatterStyle val="lineMarker"/>
        <c:ser>
          <c:idx val="0"/>
          <c:order val="0"/>
          <c:tx>
            <c:v>BAU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TransportBAU!$E$4:$T$4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TransportBAU!$E$13:$T$13</c:f>
              <c:numCache>
                <c:formatCode>#,##0</c:formatCode>
                <c:ptCount val="16"/>
                <c:pt idx="0">
                  <c:v>35255.733686729611</c:v>
                </c:pt>
                <c:pt idx="1">
                  <c:v>36333.021292176636</c:v>
                </c:pt>
                <c:pt idx="2">
                  <c:v>37410.308897623676</c:v>
                </c:pt>
                <c:pt idx="3">
                  <c:v>38487.596503070701</c:v>
                </c:pt>
                <c:pt idx="4">
                  <c:v>39564.884108517741</c:v>
                </c:pt>
                <c:pt idx="5">
                  <c:v>40642.171713964759</c:v>
                </c:pt>
                <c:pt idx="6">
                  <c:v>41364.489568950776</c:v>
                </c:pt>
                <c:pt idx="7">
                  <c:v>42086.807423936792</c:v>
                </c:pt>
                <c:pt idx="8">
                  <c:v>42809.125278922787</c:v>
                </c:pt>
                <c:pt idx="9">
                  <c:v>43531.443133908804</c:v>
                </c:pt>
                <c:pt idx="10">
                  <c:v>44253.760988894821</c:v>
                </c:pt>
                <c:pt idx="11">
                  <c:v>44976.07884388083</c:v>
                </c:pt>
                <c:pt idx="12">
                  <c:v>45698.39669886684</c:v>
                </c:pt>
                <c:pt idx="13">
                  <c:v>46420.714553852849</c:v>
                </c:pt>
                <c:pt idx="14">
                  <c:v>47143.032408838859</c:v>
                </c:pt>
                <c:pt idx="15">
                  <c:v>47865.350263824876</c:v>
                </c:pt>
              </c:numCache>
            </c:numRef>
          </c:yVal>
        </c:ser>
        <c:ser>
          <c:idx val="1"/>
          <c:order val="1"/>
          <c:tx>
            <c:v>VS</c:v>
          </c:tx>
          <c:spPr>
            <a:ln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VS_TAK!$E$4:$T$4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VS_TAK!$E$13:$T$13</c:f>
              <c:numCache>
                <c:formatCode>#,##0</c:formatCode>
                <c:ptCount val="16"/>
                <c:pt idx="0">
                  <c:v>32684.968828523961</c:v>
                </c:pt>
                <c:pt idx="1">
                  <c:v>33251.47238873013</c:v>
                </c:pt>
                <c:pt idx="2">
                  <c:v>33809.553632935633</c:v>
                </c:pt>
                <c:pt idx="3">
                  <c:v>34367.634877141129</c:v>
                </c:pt>
                <c:pt idx="4">
                  <c:v>34925.716121346624</c:v>
                </c:pt>
                <c:pt idx="5">
                  <c:v>35483.797365552127</c:v>
                </c:pt>
                <c:pt idx="6">
                  <c:v>35945.127959241734</c:v>
                </c:pt>
                <c:pt idx="7">
                  <c:v>36406.458552931334</c:v>
                </c:pt>
                <c:pt idx="8">
                  <c:v>36867.789146620933</c:v>
                </c:pt>
                <c:pt idx="9">
                  <c:v>37329.119740310533</c:v>
                </c:pt>
                <c:pt idx="10">
                  <c:v>37790.450334000132</c:v>
                </c:pt>
                <c:pt idx="11">
                  <c:v>38251.780927689731</c:v>
                </c:pt>
                <c:pt idx="12">
                  <c:v>38713.111521379331</c:v>
                </c:pt>
                <c:pt idx="13">
                  <c:v>39174.442115068938</c:v>
                </c:pt>
                <c:pt idx="14">
                  <c:v>39635.772708758537</c:v>
                </c:pt>
                <c:pt idx="15">
                  <c:v>40097.103302448137</c:v>
                </c:pt>
              </c:numCache>
            </c:numRef>
          </c:yVal>
        </c:ser>
        <c:ser>
          <c:idx val="2"/>
          <c:order val="2"/>
          <c:tx>
            <c:v>EE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TransportEE!$E$4:$T$4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TransportEE!$E$13:$T$13</c:f>
              <c:numCache>
                <c:formatCode>#,##0</c:formatCode>
                <c:ptCount val="16"/>
                <c:pt idx="0">
                  <c:v>32684.968828523964</c:v>
                </c:pt>
                <c:pt idx="1">
                  <c:v>32401.33477660668</c:v>
                </c:pt>
                <c:pt idx="2">
                  <c:v>32117.700724689406</c:v>
                </c:pt>
                <c:pt idx="3">
                  <c:v>31834.066672772129</c:v>
                </c:pt>
                <c:pt idx="4">
                  <c:v>31550.432620854859</c:v>
                </c:pt>
                <c:pt idx="5">
                  <c:v>31266.798568937575</c:v>
                </c:pt>
                <c:pt idx="6">
                  <c:v>31065.454629538486</c:v>
                </c:pt>
                <c:pt idx="7">
                  <c:v>30864.110690139398</c:v>
                </c:pt>
                <c:pt idx="8">
                  <c:v>30662.766750740302</c:v>
                </c:pt>
                <c:pt idx="9">
                  <c:v>30461.422811341214</c:v>
                </c:pt>
                <c:pt idx="10">
                  <c:v>30260.078871942118</c:v>
                </c:pt>
                <c:pt idx="11">
                  <c:v>30058.734932543026</c:v>
                </c:pt>
                <c:pt idx="12">
                  <c:v>29857.390993143938</c:v>
                </c:pt>
                <c:pt idx="13">
                  <c:v>29656.047053744845</c:v>
                </c:pt>
                <c:pt idx="14">
                  <c:v>29454.703114345757</c:v>
                </c:pt>
                <c:pt idx="15">
                  <c:v>29253.359174946665</c:v>
                </c:pt>
              </c:numCache>
            </c:numRef>
          </c:yVal>
        </c:ser>
        <c:axId val="77917184"/>
        <c:axId val="77931264"/>
      </c:scatterChart>
      <c:valAx>
        <c:axId val="77917184"/>
        <c:scaling>
          <c:orientation val="minMax"/>
          <c:max val="2030"/>
          <c:min val="2015"/>
        </c:scaling>
        <c:axPos val="b"/>
        <c:numFmt formatCode="General" sourceLinked="1"/>
        <c:tickLblPos val="nextTo"/>
        <c:crossAx val="77931264"/>
        <c:crosses val="autoZero"/>
        <c:crossBetween val="midCat"/>
        <c:majorUnit val="5"/>
      </c:valAx>
      <c:valAx>
        <c:axId val="77931264"/>
        <c:scaling>
          <c:orientation val="minMax"/>
        </c:scaling>
        <c:axPos val="l"/>
        <c:majorGridlines/>
        <c:numFmt formatCode="#,##0" sourceLinked="1"/>
        <c:tickLblPos val="nextTo"/>
        <c:crossAx val="7791718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Kulutused taristule</a:t>
            </a:r>
            <a:r>
              <a:rPr lang="en-US" sz="1200" baseline="0"/>
              <a:t> ja ühistranspordi dotatsioonidele</a:t>
            </a:r>
            <a:r>
              <a:rPr lang="en-US" sz="1200"/>
              <a:t>, </a:t>
            </a:r>
            <a:r>
              <a:rPr lang="et-EE" sz="1200"/>
              <a:t>1000</a:t>
            </a:r>
            <a:r>
              <a:rPr lang="en-US" sz="1200"/>
              <a:t> €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BAU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TransportBAU!$E$4:$T$4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TransportBAU!$E$61:$T$61</c:f>
              <c:numCache>
                <c:formatCode>#,##0</c:formatCode>
                <c:ptCount val="16"/>
                <c:pt idx="0">
                  <c:v>403607.15017049748</c:v>
                </c:pt>
                <c:pt idx="1">
                  <c:v>409825.89285996062</c:v>
                </c:pt>
                <c:pt idx="2">
                  <c:v>416044.63554942363</c:v>
                </c:pt>
                <c:pt idx="3">
                  <c:v>422263.37823888683</c:v>
                </c:pt>
                <c:pt idx="4">
                  <c:v>428482.1209283499</c:v>
                </c:pt>
                <c:pt idx="5">
                  <c:v>434700.86361781304</c:v>
                </c:pt>
                <c:pt idx="6">
                  <c:v>440570.75670023391</c:v>
                </c:pt>
                <c:pt idx="7">
                  <c:v>446440.64978265477</c:v>
                </c:pt>
                <c:pt idx="8">
                  <c:v>452310.54286507558</c:v>
                </c:pt>
                <c:pt idx="9">
                  <c:v>458180.43594749633</c:v>
                </c:pt>
                <c:pt idx="10">
                  <c:v>493350.32902991725</c:v>
                </c:pt>
                <c:pt idx="11">
                  <c:v>498903.80792664149</c:v>
                </c:pt>
                <c:pt idx="12">
                  <c:v>504457.28682336584</c:v>
                </c:pt>
                <c:pt idx="13">
                  <c:v>510010.76572009019</c:v>
                </c:pt>
                <c:pt idx="14">
                  <c:v>515564.24461681454</c:v>
                </c:pt>
                <c:pt idx="15">
                  <c:v>521117.72351353883</c:v>
                </c:pt>
              </c:numCache>
            </c:numRef>
          </c:yVal>
        </c:ser>
        <c:ser>
          <c:idx val="1"/>
          <c:order val="1"/>
          <c:tx>
            <c:v>VS</c:v>
          </c:tx>
          <c:spPr>
            <a:ln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VS_TAK!$E$4:$T$4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VS_TAK!$E$61:$T$61</c:f>
              <c:numCache>
                <c:formatCode>#,##0</c:formatCode>
                <c:ptCount val="16"/>
                <c:pt idx="0">
                  <c:v>403607.15017049748</c:v>
                </c:pt>
                <c:pt idx="1">
                  <c:v>408227.77680219151</c:v>
                </c:pt>
                <c:pt idx="2">
                  <c:v>412848.40343388548</c:v>
                </c:pt>
                <c:pt idx="3">
                  <c:v>417469.03006557957</c:v>
                </c:pt>
                <c:pt idx="4">
                  <c:v>422089.6566972736</c:v>
                </c:pt>
                <c:pt idx="5">
                  <c:v>426710.28332896758</c:v>
                </c:pt>
                <c:pt idx="6">
                  <c:v>432892.1165748731</c:v>
                </c:pt>
                <c:pt idx="7">
                  <c:v>439073.94982077857</c:v>
                </c:pt>
                <c:pt idx="8">
                  <c:v>445255.78306668415</c:v>
                </c:pt>
                <c:pt idx="9">
                  <c:v>451437.61631258967</c:v>
                </c:pt>
                <c:pt idx="10">
                  <c:v>487123.16430295142</c:v>
                </c:pt>
                <c:pt idx="11">
                  <c:v>491299.24541233154</c:v>
                </c:pt>
                <c:pt idx="12">
                  <c:v>495475.32652171189</c:v>
                </c:pt>
                <c:pt idx="13">
                  <c:v>499651.40763109201</c:v>
                </c:pt>
                <c:pt idx="14">
                  <c:v>503827.48874047236</c:v>
                </c:pt>
                <c:pt idx="15">
                  <c:v>508003.56984985247</c:v>
                </c:pt>
              </c:numCache>
            </c:numRef>
          </c:yVal>
        </c:ser>
        <c:ser>
          <c:idx val="2"/>
          <c:order val="2"/>
          <c:tx>
            <c:v>EE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TransportEE!$E$4:$T$4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TransportEE!$E$61:$T$61</c:f>
              <c:numCache>
                <c:formatCode>#,##0</c:formatCode>
                <c:ptCount val="16"/>
                <c:pt idx="0">
                  <c:v>403607.15017049748</c:v>
                </c:pt>
                <c:pt idx="1">
                  <c:v>411225.18954945821</c:v>
                </c:pt>
                <c:pt idx="2">
                  <c:v>418843.22892841889</c:v>
                </c:pt>
                <c:pt idx="3">
                  <c:v>426461.26830737956</c:v>
                </c:pt>
                <c:pt idx="4">
                  <c:v>434079.30768634024</c:v>
                </c:pt>
                <c:pt idx="5">
                  <c:v>446697.34706530097</c:v>
                </c:pt>
                <c:pt idx="6">
                  <c:v>451928.85463033197</c:v>
                </c:pt>
                <c:pt idx="7">
                  <c:v>457160.36219536315</c:v>
                </c:pt>
                <c:pt idx="8">
                  <c:v>462391.86976039415</c:v>
                </c:pt>
                <c:pt idx="9">
                  <c:v>467623.37732542516</c:v>
                </c:pt>
                <c:pt idx="10">
                  <c:v>472854.88489045633</c:v>
                </c:pt>
                <c:pt idx="11">
                  <c:v>472677.11248000874</c:v>
                </c:pt>
                <c:pt idx="12">
                  <c:v>472499.34006956115</c:v>
                </c:pt>
                <c:pt idx="13">
                  <c:v>472321.56765911367</c:v>
                </c:pt>
                <c:pt idx="14">
                  <c:v>472143.79524866602</c:v>
                </c:pt>
                <c:pt idx="15">
                  <c:v>471966.02283821849</c:v>
                </c:pt>
              </c:numCache>
            </c:numRef>
          </c:yVal>
        </c:ser>
        <c:axId val="77970432"/>
        <c:axId val="77984512"/>
      </c:scatterChart>
      <c:valAx>
        <c:axId val="77970432"/>
        <c:scaling>
          <c:orientation val="minMax"/>
          <c:max val="2030"/>
          <c:min val="2015"/>
        </c:scaling>
        <c:axPos val="b"/>
        <c:majorGridlines/>
        <c:numFmt formatCode="General" sourceLinked="1"/>
        <c:tickLblPos val="nextTo"/>
        <c:crossAx val="77984512"/>
        <c:crosses val="autoZero"/>
        <c:crossBetween val="midCat"/>
        <c:majorUnit val="5"/>
      </c:valAx>
      <c:valAx>
        <c:axId val="77984512"/>
        <c:scaling>
          <c:orientation val="minMax"/>
        </c:scaling>
        <c:axPos val="l"/>
        <c:majorGridlines/>
        <c:numFmt formatCode="#,##0" sourceLinked="1"/>
        <c:tickLblPos val="nextTo"/>
        <c:crossAx val="779704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Kütuseaktsiis</a:t>
            </a:r>
            <a:r>
              <a:rPr lang="en-US" sz="1200" baseline="0"/>
              <a:t> ja transpordimaksud</a:t>
            </a:r>
            <a:r>
              <a:rPr lang="en-US" sz="1200"/>
              <a:t>, </a:t>
            </a:r>
            <a:r>
              <a:rPr lang="et-EE" sz="1200"/>
              <a:t>1000</a:t>
            </a:r>
            <a:r>
              <a:rPr lang="en-US" sz="1200"/>
              <a:t> €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BAU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TransportBAU!$E$4:$T$4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TransportBAU!$E$29:$T$29</c:f>
              <c:numCache>
                <c:formatCode>#,##0</c:formatCode>
                <c:ptCount val="16"/>
                <c:pt idx="0">
                  <c:v>409018.18092902761</c:v>
                </c:pt>
                <c:pt idx="1">
                  <c:v>420113.41913812835</c:v>
                </c:pt>
                <c:pt idx="2">
                  <c:v>431208.65734722908</c:v>
                </c:pt>
                <c:pt idx="3">
                  <c:v>442303.89555632987</c:v>
                </c:pt>
                <c:pt idx="4">
                  <c:v>453399.1337654306</c:v>
                </c:pt>
                <c:pt idx="5">
                  <c:v>464494.37197453133</c:v>
                </c:pt>
                <c:pt idx="6">
                  <c:v>472787.31446151523</c:v>
                </c:pt>
                <c:pt idx="7">
                  <c:v>481080.25694849913</c:v>
                </c:pt>
                <c:pt idx="8">
                  <c:v>489373.19943548308</c:v>
                </c:pt>
                <c:pt idx="9">
                  <c:v>497666.14192246698</c:v>
                </c:pt>
                <c:pt idx="10">
                  <c:v>505959.08440945088</c:v>
                </c:pt>
                <c:pt idx="11">
                  <c:v>514252.02689643478</c:v>
                </c:pt>
                <c:pt idx="12">
                  <c:v>522544.96938341868</c:v>
                </c:pt>
                <c:pt idx="13">
                  <c:v>530837.91187040263</c:v>
                </c:pt>
                <c:pt idx="14">
                  <c:v>539130.85435738647</c:v>
                </c:pt>
                <c:pt idx="15">
                  <c:v>547423.79684437043</c:v>
                </c:pt>
              </c:numCache>
            </c:numRef>
          </c:yVal>
        </c:ser>
        <c:ser>
          <c:idx val="1"/>
          <c:order val="1"/>
          <c:tx>
            <c:v>VS</c:v>
          </c:tx>
          <c:spPr>
            <a:ln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VS_TAK!$E$4:$T$4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VS_TAK!$E$29:$T$29</c:f>
              <c:numCache>
                <c:formatCode>#,##0</c:formatCode>
                <c:ptCount val="16"/>
                <c:pt idx="0">
                  <c:v>409018.18092902761</c:v>
                </c:pt>
                <c:pt idx="1">
                  <c:v>425070.99426552921</c:v>
                </c:pt>
                <c:pt idx="2">
                  <c:v>441123.80760203081</c:v>
                </c:pt>
                <c:pt idx="3">
                  <c:v>457176.6209385324</c:v>
                </c:pt>
                <c:pt idx="4">
                  <c:v>473229.434275034</c:v>
                </c:pt>
                <c:pt idx="5">
                  <c:v>489282.2476115356</c:v>
                </c:pt>
                <c:pt idx="6">
                  <c:v>497723.66782299743</c:v>
                </c:pt>
                <c:pt idx="7">
                  <c:v>506165.08803445933</c:v>
                </c:pt>
                <c:pt idx="8">
                  <c:v>514606.50824592117</c:v>
                </c:pt>
                <c:pt idx="9">
                  <c:v>523047.92845738307</c:v>
                </c:pt>
                <c:pt idx="10">
                  <c:v>531489.3486688449</c:v>
                </c:pt>
                <c:pt idx="11">
                  <c:v>539930.76888030674</c:v>
                </c:pt>
                <c:pt idx="12">
                  <c:v>548372.18909176858</c:v>
                </c:pt>
                <c:pt idx="13">
                  <c:v>556813.60930323042</c:v>
                </c:pt>
                <c:pt idx="14">
                  <c:v>565255.02951469226</c:v>
                </c:pt>
                <c:pt idx="15">
                  <c:v>573696.4497261541</c:v>
                </c:pt>
              </c:numCache>
            </c:numRef>
          </c:yVal>
        </c:ser>
        <c:ser>
          <c:idx val="2"/>
          <c:order val="2"/>
          <c:tx>
            <c:v>EE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TransportEE!$E$4:$T$4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TransportEE!$E$29:$T$29</c:f>
              <c:numCache>
                <c:formatCode>#,##0</c:formatCode>
                <c:ptCount val="16"/>
                <c:pt idx="0">
                  <c:v>409018.18092902761</c:v>
                </c:pt>
                <c:pt idx="1">
                  <c:v>434871.96393859282</c:v>
                </c:pt>
                <c:pt idx="2">
                  <c:v>460725.74694815796</c:v>
                </c:pt>
                <c:pt idx="3">
                  <c:v>486579.52995772316</c:v>
                </c:pt>
                <c:pt idx="4">
                  <c:v>512433.31296728831</c:v>
                </c:pt>
                <c:pt idx="5">
                  <c:v>538287.09597685351</c:v>
                </c:pt>
                <c:pt idx="6">
                  <c:v>543198.90615879861</c:v>
                </c:pt>
                <c:pt idx="7">
                  <c:v>548110.71634074382</c:v>
                </c:pt>
                <c:pt idx="8">
                  <c:v>553022.52652268892</c:v>
                </c:pt>
                <c:pt idx="9">
                  <c:v>557934.33670463413</c:v>
                </c:pt>
                <c:pt idx="10">
                  <c:v>562846.14688657923</c:v>
                </c:pt>
                <c:pt idx="11">
                  <c:v>567757.95706852432</c:v>
                </c:pt>
                <c:pt idx="12">
                  <c:v>572669.76725046954</c:v>
                </c:pt>
                <c:pt idx="13">
                  <c:v>577581.57743241463</c:v>
                </c:pt>
                <c:pt idx="14">
                  <c:v>582493.38761435985</c:v>
                </c:pt>
                <c:pt idx="15">
                  <c:v>587405.19779630494</c:v>
                </c:pt>
              </c:numCache>
            </c:numRef>
          </c:yVal>
        </c:ser>
        <c:axId val="78019968"/>
        <c:axId val="78029952"/>
      </c:scatterChart>
      <c:valAx>
        <c:axId val="78019968"/>
        <c:scaling>
          <c:orientation val="minMax"/>
          <c:max val="2030"/>
          <c:min val="2015"/>
        </c:scaling>
        <c:axPos val="b"/>
        <c:numFmt formatCode="General" sourceLinked="1"/>
        <c:tickLblPos val="nextTo"/>
        <c:crossAx val="78029952"/>
        <c:crosses val="autoZero"/>
        <c:crossBetween val="midCat"/>
        <c:majorUnit val="5"/>
      </c:valAx>
      <c:valAx>
        <c:axId val="78029952"/>
        <c:scaling>
          <c:orientation val="minMax"/>
        </c:scaling>
        <c:axPos val="l"/>
        <c:majorGridlines/>
        <c:numFmt formatCode="#,##0" sourceLinked="1"/>
        <c:tickLblPos val="nextTo"/>
        <c:crossAx val="7801996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Kulutused kütusele sh </a:t>
            </a:r>
            <a:r>
              <a:rPr lang="et-EE" sz="1200"/>
              <a:t>aktsiis</a:t>
            </a:r>
            <a:r>
              <a:rPr lang="en-US" sz="1200"/>
              <a:t>, </a:t>
            </a:r>
            <a:r>
              <a:rPr lang="et-EE" sz="1200"/>
              <a:t>1000</a:t>
            </a:r>
            <a:r>
              <a:rPr lang="en-US" sz="1200"/>
              <a:t> €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BAU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TransportBAU!$E$4:$T$4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TransportBAU!$E$30:$T$30</c:f>
              <c:numCache>
                <c:formatCode>#,##0</c:formatCode>
                <c:ptCount val="16"/>
                <c:pt idx="0">
                  <c:v>1110802.796703124</c:v>
                </c:pt>
                <c:pt idx="1">
                  <c:v>1175631.8312578727</c:v>
                </c:pt>
                <c:pt idx="2">
                  <c:v>1240460.8658126211</c:v>
                </c:pt>
                <c:pt idx="3">
                  <c:v>1305289.9003673696</c:v>
                </c:pt>
                <c:pt idx="4">
                  <c:v>1370118.9349221184</c:v>
                </c:pt>
                <c:pt idx="5">
                  <c:v>1434947.9694768668</c:v>
                </c:pt>
                <c:pt idx="6">
                  <c:v>1466376.7685533529</c:v>
                </c:pt>
                <c:pt idx="7">
                  <c:v>1497805.5676298393</c:v>
                </c:pt>
                <c:pt idx="8">
                  <c:v>1529234.3667063254</c:v>
                </c:pt>
                <c:pt idx="9">
                  <c:v>1560663.1657828118</c:v>
                </c:pt>
                <c:pt idx="10">
                  <c:v>1592091.9648592982</c:v>
                </c:pt>
                <c:pt idx="11">
                  <c:v>1623520.7639357843</c:v>
                </c:pt>
                <c:pt idx="12">
                  <c:v>1654949.5630122705</c:v>
                </c:pt>
                <c:pt idx="13">
                  <c:v>1686378.3620887571</c:v>
                </c:pt>
                <c:pt idx="14">
                  <c:v>1717807.1611652435</c:v>
                </c:pt>
                <c:pt idx="15">
                  <c:v>1749235.9602417294</c:v>
                </c:pt>
              </c:numCache>
            </c:numRef>
          </c:yVal>
        </c:ser>
        <c:ser>
          <c:idx val="1"/>
          <c:order val="1"/>
          <c:tx>
            <c:v>VS</c:v>
          </c:tx>
          <c:spPr>
            <a:ln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VS_TAK!$E$4:$T$4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VS_TAK!$E$30:$T$30</c:f>
              <c:numCache>
                <c:formatCode>#,##0</c:formatCode>
                <c:ptCount val="16"/>
                <c:pt idx="0">
                  <c:v>1129444.8061100517</c:v>
                </c:pt>
                <c:pt idx="1">
                  <c:v>1152465.5955747229</c:v>
                </c:pt>
                <c:pt idx="2">
                  <c:v>1175486.385039394</c:v>
                </c:pt>
                <c:pt idx="3">
                  <c:v>1198507.1745040652</c:v>
                </c:pt>
                <c:pt idx="4">
                  <c:v>1221527.9639687366</c:v>
                </c:pt>
                <c:pt idx="5">
                  <c:v>1244548.7534334077</c:v>
                </c:pt>
                <c:pt idx="6">
                  <c:v>1265931.0717539357</c:v>
                </c:pt>
                <c:pt idx="7">
                  <c:v>1287313.3900744636</c:v>
                </c:pt>
                <c:pt idx="8">
                  <c:v>1308695.7083949917</c:v>
                </c:pt>
                <c:pt idx="9">
                  <c:v>1330078.0267155194</c:v>
                </c:pt>
                <c:pt idx="10">
                  <c:v>1351460.345036047</c:v>
                </c:pt>
                <c:pt idx="11">
                  <c:v>1372842.6633565747</c:v>
                </c:pt>
                <c:pt idx="12">
                  <c:v>1394224.9816771029</c:v>
                </c:pt>
                <c:pt idx="13">
                  <c:v>1415607.2999976308</c:v>
                </c:pt>
                <c:pt idx="14">
                  <c:v>1436989.6183181587</c:v>
                </c:pt>
                <c:pt idx="15">
                  <c:v>1458371.9366386866</c:v>
                </c:pt>
              </c:numCache>
            </c:numRef>
          </c:yVal>
        </c:ser>
        <c:ser>
          <c:idx val="2"/>
          <c:order val="2"/>
          <c:tx>
            <c:v>EE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TransportEE!$E$4:$T$4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TransportEE!$E$30:$T$30</c:f>
              <c:numCache>
                <c:formatCode>#,##0</c:formatCode>
                <c:ptCount val="16"/>
                <c:pt idx="0">
                  <c:v>1129444.8061100517</c:v>
                </c:pt>
                <c:pt idx="1">
                  <c:v>1123245.7777256409</c:v>
                </c:pt>
                <c:pt idx="2">
                  <c:v>1117046.7493412304</c:v>
                </c:pt>
                <c:pt idx="3">
                  <c:v>1110847.7209568196</c:v>
                </c:pt>
                <c:pt idx="4">
                  <c:v>1104648.6925724093</c:v>
                </c:pt>
                <c:pt idx="5">
                  <c:v>1098449.6641879985</c:v>
                </c:pt>
                <c:pt idx="6">
                  <c:v>1095210.4258706865</c:v>
                </c:pt>
                <c:pt idx="7">
                  <c:v>1091971.1875533746</c:v>
                </c:pt>
                <c:pt idx="8">
                  <c:v>1088731.9492360628</c:v>
                </c:pt>
                <c:pt idx="9">
                  <c:v>1085492.7109187508</c:v>
                </c:pt>
                <c:pt idx="10">
                  <c:v>1082253.4726014389</c:v>
                </c:pt>
                <c:pt idx="11">
                  <c:v>1079014.2342841271</c:v>
                </c:pt>
                <c:pt idx="12">
                  <c:v>1075774.9959668152</c:v>
                </c:pt>
                <c:pt idx="13">
                  <c:v>1072535.7576495032</c:v>
                </c:pt>
                <c:pt idx="14">
                  <c:v>1069296.5193321914</c:v>
                </c:pt>
                <c:pt idx="15">
                  <c:v>1066057.2810148795</c:v>
                </c:pt>
              </c:numCache>
            </c:numRef>
          </c:yVal>
        </c:ser>
        <c:axId val="78069120"/>
        <c:axId val="78075008"/>
      </c:scatterChart>
      <c:valAx>
        <c:axId val="78069120"/>
        <c:scaling>
          <c:orientation val="minMax"/>
          <c:max val="2030"/>
          <c:min val="2015"/>
        </c:scaling>
        <c:axPos val="b"/>
        <c:numFmt formatCode="General" sourceLinked="1"/>
        <c:tickLblPos val="nextTo"/>
        <c:crossAx val="78075008"/>
        <c:crosses val="autoZero"/>
        <c:crossBetween val="midCat"/>
        <c:majorUnit val="5"/>
      </c:valAx>
      <c:valAx>
        <c:axId val="78075008"/>
        <c:scaling>
          <c:orientation val="minMax"/>
        </c:scaling>
        <c:axPos val="l"/>
        <c:majorGridlines/>
        <c:numFmt formatCode="#,##0" sourceLinked="1"/>
        <c:tickLblPos val="nextTo"/>
        <c:crossAx val="780691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Kulutused autodele, soetamine</a:t>
            </a:r>
            <a:r>
              <a:rPr lang="en-US" sz="1200" baseline="0"/>
              <a:t> </a:t>
            </a:r>
            <a:r>
              <a:rPr lang="en-US" sz="1200"/>
              <a:t>ja hooldus, </a:t>
            </a:r>
            <a:r>
              <a:rPr lang="et-EE" sz="1200"/>
              <a:t>1000</a:t>
            </a:r>
            <a:r>
              <a:rPr lang="en-US" sz="1200"/>
              <a:t> €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133239180483428"/>
          <c:y val="0.15336504715374821"/>
          <c:w val="0.64200458511482261"/>
          <c:h val="0.73608043588549865"/>
        </c:manualLayout>
      </c:layout>
      <c:scatterChart>
        <c:scatterStyle val="lineMarker"/>
        <c:ser>
          <c:idx val="0"/>
          <c:order val="0"/>
          <c:tx>
            <c:v>BAU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TransportBAU!$E$4:$T$4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TransportBAU!$E$74:$T$74</c:f>
              <c:numCache>
                <c:formatCode>0</c:formatCode>
                <c:ptCount val="16"/>
                <c:pt idx="0">
                  <c:v>928182.90741025645</c:v>
                </c:pt>
                <c:pt idx="1">
                  <c:v>931968.26311569242</c:v>
                </c:pt>
                <c:pt idx="2">
                  <c:v>935753.61882112827</c:v>
                </c:pt>
                <c:pt idx="3">
                  <c:v>939538.97452656412</c:v>
                </c:pt>
                <c:pt idx="4">
                  <c:v>943324.33023199998</c:v>
                </c:pt>
                <c:pt idx="5">
                  <c:v>947109.68593743595</c:v>
                </c:pt>
                <c:pt idx="6">
                  <c:v>958028.40773805126</c:v>
                </c:pt>
                <c:pt idx="7">
                  <c:v>968947.12953866669</c:v>
                </c:pt>
                <c:pt idx="8">
                  <c:v>979865.851339282</c:v>
                </c:pt>
                <c:pt idx="9">
                  <c:v>990784.57313989755</c:v>
                </c:pt>
                <c:pt idx="10">
                  <c:v>1001703.2949405129</c:v>
                </c:pt>
                <c:pt idx="11">
                  <c:v>1006925.0304272822</c:v>
                </c:pt>
                <c:pt idx="12">
                  <c:v>1012146.7659140513</c:v>
                </c:pt>
                <c:pt idx="13">
                  <c:v>1017368.5014008207</c:v>
                </c:pt>
                <c:pt idx="14">
                  <c:v>1022590.2368875898</c:v>
                </c:pt>
                <c:pt idx="15">
                  <c:v>1027811.972374359</c:v>
                </c:pt>
              </c:numCache>
            </c:numRef>
          </c:yVal>
        </c:ser>
        <c:ser>
          <c:idx val="1"/>
          <c:order val="1"/>
          <c:tx>
            <c:v>VS</c:v>
          </c:tx>
          <c:spPr>
            <a:ln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VS_TAK!$E$4:$T$4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VS_TAK!$E$74:$T$74</c:f>
              <c:numCache>
                <c:formatCode>0</c:formatCode>
                <c:ptCount val="16"/>
                <c:pt idx="0">
                  <c:v>927960.26541025646</c:v>
                </c:pt>
                <c:pt idx="1">
                  <c:v>930503.86552225659</c:v>
                </c:pt>
                <c:pt idx="2">
                  <c:v>933047.4656342566</c:v>
                </c:pt>
                <c:pt idx="3">
                  <c:v>935591.06574625662</c:v>
                </c:pt>
                <c:pt idx="4">
                  <c:v>938134.66585825651</c:v>
                </c:pt>
                <c:pt idx="5">
                  <c:v>940678.26597025641</c:v>
                </c:pt>
                <c:pt idx="6">
                  <c:v>951619.22281220532</c:v>
                </c:pt>
                <c:pt idx="7">
                  <c:v>962560.179654154</c:v>
                </c:pt>
                <c:pt idx="8">
                  <c:v>973501.13649610267</c:v>
                </c:pt>
                <c:pt idx="9">
                  <c:v>984442.09333805135</c:v>
                </c:pt>
                <c:pt idx="10">
                  <c:v>995383.05018000002</c:v>
                </c:pt>
                <c:pt idx="11">
                  <c:v>1000419.0862947692</c:v>
                </c:pt>
                <c:pt idx="12">
                  <c:v>1005455.1224095385</c:v>
                </c:pt>
                <c:pt idx="13">
                  <c:v>1010491.1585243077</c:v>
                </c:pt>
                <c:pt idx="14">
                  <c:v>1015527.1946390771</c:v>
                </c:pt>
                <c:pt idx="15">
                  <c:v>1020563.2307538462</c:v>
                </c:pt>
              </c:numCache>
            </c:numRef>
          </c:yVal>
        </c:ser>
        <c:ser>
          <c:idx val="2"/>
          <c:order val="2"/>
          <c:tx>
            <c:v>EE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TransportEE!$E$4:$T$4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TransportEE!$E$74:$T$74</c:f>
              <c:numCache>
                <c:formatCode>0</c:formatCode>
                <c:ptCount val="16"/>
                <c:pt idx="0">
                  <c:v>927613.9334102564</c:v>
                </c:pt>
                <c:pt idx="1">
                  <c:v>927907.1397066667</c:v>
                </c:pt>
                <c:pt idx="2">
                  <c:v>928200.34600307711</c:v>
                </c:pt>
                <c:pt idx="3">
                  <c:v>928493.55229948717</c:v>
                </c:pt>
                <c:pt idx="4">
                  <c:v>928786.75859589747</c:v>
                </c:pt>
                <c:pt idx="5">
                  <c:v>929079.96489230776</c:v>
                </c:pt>
                <c:pt idx="6">
                  <c:v>931169.16329333349</c:v>
                </c:pt>
                <c:pt idx="7">
                  <c:v>933258.36169435899</c:v>
                </c:pt>
                <c:pt idx="8">
                  <c:v>935347.5600953846</c:v>
                </c:pt>
                <c:pt idx="9">
                  <c:v>937436.75849641033</c:v>
                </c:pt>
                <c:pt idx="10">
                  <c:v>939525.95689743594</c:v>
                </c:pt>
                <c:pt idx="11">
                  <c:v>930084.63539076922</c:v>
                </c:pt>
                <c:pt idx="12">
                  <c:v>920643.31388410251</c:v>
                </c:pt>
                <c:pt idx="13">
                  <c:v>911201.9923774359</c:v>
                </c:pt>
                <c:pt idx="14">
                  <c:v>901760.6708707693</c:v>
                </c:pt>
                <c:pt idx="15">
                  <c:v>892319.34936410259</c:v>
                </c:pt>
              </c:numCache>
            </c:numRef>
          </c:yVal>
        </c:ser>
        <c:axId val="78097792"/>
        <c:axId val="78140544"/>
      </c:scatterChart>
      <c:valAx>
        <c:axId val="78097792"/>
        <c:scaling>
          <c:orientation val="minMax"/>
          <c:max val="2030"/>
          <c:min val="2015"/>
        </c:scaling>
        <c:axPos val="b"/>
        <c:numFmt formatCode="General" sourceLinked="1"/>
        <c:tickLblPos val="nextTo"/>
        <c:crossAx val="78140544"/>
        <c:crosses val="autoZero"/>
        <c:crossBetween val="midCat"/>
        <c:majorUnit val="5"/>
      </c:valAx>
      <c:valAx>
        <c:axId val="78140544"/>
        <c:scaling>
          <c:orientation val="minMax"/>
          <c:min val="0"/>
        </c:scaling>
        <c:axPos val="l"/>
        <c:majorGridlines/>
        <c:numFmt formatCode="#,##0" sourceLinked="0"/>
        <c:tickLblPos val="nextTo"/>
        <c:crossAx val="7809779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/>
            </a:pPr>
            <a:r>
              <a:rPr lang="et-EE" sz="1200"/>
              <a:t>Transpordi stsenaariumide kulud kokku, keskmiselt aastas 2015-2030</a:t>
            </a:r>
          </a:p>
        </c:rich>
      </c:tx>
      <c:layout>
        <c:manualLayout>
          <c:xMode val="edge"/>
          <c:yMode val="edge"/>
          <c:x val="0.21472226247816228"/>
          <c:y val="2.5263163478527761E-2"/>
        </c:manualLayout>
      </c:layout>
    </c:title>
    <c:plotArea>
      <c:layout>
        <c:manualLayout>
          <c:layoutTarget val="inner"/>
          <c:xMode val="edge"/>
          <c:yMode val="edge"/>
          <c:x val="7.4603325345959218E-2"/>
          <c:y val="0.10568423388517414"/>
          <c:w val="0.62229099676982413"/>
          <c:h val="0.837618861747504"/>
        </c:manualLayout>
      </c:layout>
      <c:barChart>
        <c:barDir val="bar"/>
        <c:grouping val="clustered"/>
        <c:ser>
          <c:idx val="1"/>
          <c:order val="0"/>
          <c:tx>
            <c:strRef>
              <c:f>Jooniseks_AastaKeskmine!$A$16</c:f>
              <c:strCache>
                <c:ptCount val="1"/>
                <c:pt idx="0">
                  <c:v>Taristu investeeringud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Jooniseks_AastaKeskmine!$B$16:$D$16</c:f>
              <c:numCache>
                <c:formatCode>#,##0</c:formatCode>
                <c:ptCount val="3"/>
                <c:pt idx="0">
                  <c:v>112.5</c:v>
                </c:pt>
                <c:pt idx="1">
                  <c:v>106.25</c:v>
                </c:pt>
                <c:pt idx="2">
                  <c:v>93.75</c:v>
                </c:pt>
              </c:numCache>
            </c:numRef>
          </c:val>
        </c:ser>
        <c:ser>
          <c:idx val="2"/>
          <c:order val="1"/>
          <c:tx>
            <c:strRef>
              <c:f>Jooniseks_AastaKeskmine!$A$17</c:f>
              <c:strCache>
                <c:ptCount val="1"/>
                <c:pt idx="0">
                  <c:v>Taristu hooldus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Jooniseks_AastaKeskmine!$B$17:$D$17</c:f>
              <c:numCache>
                <c:formatCode>#,##0</c:formatCode>
                <c:ptCount val="3"/>
                <c:pt idx="0">
                  <c:v>256.25</c:v>
                </c:pt>
                <c:pt idx="1">
                  <c:v>256.25</c:v>
                </c:pt>
                <c:pt idx="2">
                  <c:v>256.25</c:v>
                </c:pt>
              </c:numCache>
            </c:numRef>
          </c:val>
        </c:ser>
        <c:ser>
          <c:idx val="3"/>
          <c:order val="2"/>
          <c:tx>
            <c:strRef>
              <c:f>Jooniseks_AastaKeskmine!$A$18</c:f>
              <c:strCache>
                <c:ptCount val="1"/>
                <c:pt idx="0">
                  <c:v>Ühistranspordi toetused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Jooniseks_AastaKeskmine!$B$18:$D$18</c:f>
              <c:numCache>
                <c:formatCode>#,##0</c:formatCode>
                <c:ptCount val="3"/>
                <c:pt idx="0">
                  <c:v>87.5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</c:ser>
        <c:ser>
          <c:idx val="4"/>
          <c:order val="3"/>
          <c:tx>
            <c:strRef>
              <c:f>Jooniseks_AastaKeskmine!$A$19</c:f>
              <c:strCache>
                <c:ptCount val="1"/>
                <c:pt idx="0">
                  <c:v>Kulutused kütustele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Jooniseks_AastaKeskmine!$B$19:$D$19</c:f>
              <c:numCache>
                <c:formatCode>#,##0</c:formatCode>
                <c:ptCount val="3"/>
                <c:pt idx="0">
                  <c:v>1481.25</c:v>
                </c:pt>
                <c:pt idx="1">
                  <c:v>1293.75</c:v>
                </c:pt>
                <c:pt idx="2">
                  <c:v>1093.75</c:v>
                </c:pt>
              </c:numCache>
            </c:numRef>
          </c:val>
        </c:ser>
        <c:ser>
          <c:idx val="5"/>
          <c:order val="4"/>
          <c:tx>
            <c:strRef>
              <c:f>Jooniseks_AastaKeskmine!$A$20</c:f>
              <c:strCache>
                <c:ptCount val="1"/>
                <c:pt idx="0">
                  <c:v>Transpordimaksud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Jooniseks_AastaKeskmine!$B$20:$D$20</c:f>
              <c:numCache>
                <c:formatCode>#,##0</c:formatCode>
                <c:ptCount val="3"/>
                <c:pt idx="0">
                  <c:v>25</c:v>
                </c:pt>
                <c:pt idx="1">
                  <c:v>125</c:v>
                </c:pt>
                <c:pt idx="2">
                  <c:v>231.25</c:v>
                </c:pt>
              </c:numCache>
            </c:numRef>
          </c:val>
        </c:ser>
        <c:ser>
          <c:idx val="6"/>
          <c:order val="5"/>
          <c:tx>
            <c:strRef>
              <c:f>Jooniseks_AastaKeskmine!$A$21</c:f>
              <c:strCache>
                <c:ptCount val="1"/>
                <c:pt idx="0">
                  <c:v>Energiasäästu tegevuste kulu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Jooniseks_AastaKeskmine!$B$21:$D$21</c:f>
              <c:numCache>
                <c:formatCode>#,##0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62.5</c:v>
                </c:pt>
              </c:numCache>
            </c:numRef>
          </c:val>
        </c:ser>
        <c:ser>
          <c:idx val="7"/>
          <c:order val="6"/>
          <c:tx>
            <c:strRef>
              <c:f>Jooniseks_AastaKeskmine!$A$22</c:f>
              <c:strCache>
                <c:ptCount val="1"/>
                <c:pt idx="0">
                  <c:v>Väliskulud-tulud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Jooniseks_AastaKeskmine!$B$14:$D$14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Jooniseks_AastaKeskmine!$B$22:$D$22</c:f>
              <c:numCache>
                <c:formatCode>#,##0</c:formatCode>
                <c:ptCount val="3"/>
                <c:pt idx="0">
                  <c:v>175</c:v>
                </c:pt>
                <c:pt idx="1">
                  <c:v>-6.25</c:v>
                </c:pt>
                <c:pt idx="2">
                  <c:v>-50</c:v>
                </c:pt>
              </c:numCache>
            </c:numRef>
          </c:val>
        </c:ser>
        <c:dLbls>
          <c:showVal val="1"/>
        </c:dLbls>
        <c:axId val="50463488"/>
        <c:axId val="50465024"/>
      </c:barChart>
      <c:catAx>
        <c:axId val="50463488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50465024"/>
        <c:crosses val="autoZero"/>
        <c:auto val="1"/>
        <c:lblAlgn val="ctr"/>
        <c:lblOffset val="100"/>
      </c:catAx>
      <c:valAx>
        <c:axId val="50465024"/>
        <c:scaling>
          <c:orientation val="minMax"/>
          <c:max val="2000"/>
          <c:min val="-1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5046348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050"/>
          </a:pPr>
          <a:endParaRPr lang="et-EE"/>
        </a:p>
      </c:txPr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TransportBAU!$B$61</c:f>
              <c:strCache>
                <c:ptCount val="1"/>
                <c:pt idx="0">
                  <c:v>Transpordi infra ja teenuste kulud kokku (ilma sõiduautodeta)</c:v>
                </c:pt>
              </c:strCache>
            </c:strRef>
          </c:tx>
          <c:marker>
            <c:symbol val="none"/>
          </c:marker>
          <c:xVal>
            <c:numRef>
              <c:f>TransportBAU!$D$4:$U$4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TransportBAU!$D$61:$U$61</c:f>
              <c:numCache>
                <c:formatCode>#,##0</c:formatCode>
                <c:ptCount val="18"/>
                <c:pt idx="1">
                  <c:v>403607.15017049748</c:v>
                </c:pt>
                <c:pt idx="2">
                  <c:v>409825.89285996062</c:v>
                </c:pt>
                <c:pt idx="3">
                  <c:v>416044.63554942363</c:v>
                </c:pt>
                <c:pt idx="4">
                  <c:v>422263.37823888683</c:v>
                </c:pt>
                <c:pt idx="5">
                  <c:v>428482.1209283499</c:v>
                </c:pt>
                <c:pt idx="6">
                  <c:v>434700.86361781304</c:v>
                </c:pt>
                <c:pt idx="7">
                  <c:v>440570.75670023391</c:v>
                </c:pt>
                <c:pt idx="8">
                  <c:v>446440.64978265477</c:v>
                </c:pt>
                <c:pt idx="9">
                  <c:v>452310.54286507558</c:v>
                </c:pt>
                <c:pt idx="10">
                  <c:v>458180.43594749633</c:v>
                </c:pt>
                <c:pt idx="11">
                  <c:v>493350.32902991725</c:v>
                </c:pt>
                <c:pt idx="12">
                  <c:v>498903.80792664149</c:v>
                </c:pt>
                <c:pt idx="13">
                  <c:v>504457.28682336584</c:v>
                </c:pt>
                <c:pt idx="14">
                  <c:v>510010.76572009019</c:v>
                </c:pt>
                <c:pt idx="15">
                  <c:v>515564.24461681454</c:v>
                </c:pt>
                <c:pt idx="16">
                  <c:v>521117.72351353883</c:v>
                </c:pt>
                <c:pt idx="17">
                  <c:v>527064.38962505769</c:v>
                </c:pt>
              </c:numCache>
            </c:numRef>
          </c:yVal>
        </c:ser>
        <c:ser>
          <c:idx val="1"/>
          <c:order val="1"/>
          <c:tx>
            <c:strRef>
              <c:f>TransportBAU!$B$63</c:f>
              <c:strCache>
                <c:ptCount val="1"/>
                <c:pt idx="0">
                  <c:v>Aktsiis ja transpordimaksud kokku</c:v>
                </c:pt>
              </c:strCache>
            </c:strRef>
          </c:tx>
          <c:marker>
            <c:symbol val="none"/>
          </c:marker>
          <c:xVal>
            <c:numRef>
              <c:f>TransportBAU!$D$4:$U$4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TransportBAU!$D$63:$U$63</c:f>
              <c:numCache>
                <c:formatCode>#,##0</c:formatCode>
                <c:ptCount val="18"/>
                <c:pt idx="1">
                  <c:v>409018.18092902761</c:v>
                </c:pt>
                <c:pt idx="6">
                  <c:v>464494.37197453133</c:v>
                </c:pt>
                <c:pt idx="11">
                  <c:v>505959.08440945088</c:v>
                </c:pt>
                <c:pt idx="16">
                  <c:v>547423.79684437043</c:v>
                </c:pt>
                <c:pt idx="17">
                  <c:v>520847.58790064236</c:v>
                </c:pt>
              </c:numCache>
            </c:numRef>
          </c:yVal>
        </c:ser>
        <c:axId val="50723840"/>
        <c:axId val="50311936"/>
      </c:scatterChart>
      <c:valAx>
        <c:axId val="50723840"/>
        <c:scaling>
          <c:orientation val="minMax"/>
        </c:scaling>
        <c:axPos val="b"/>
        <c:numFmt formatCode="General" sourceLinked="1"/>
        <c:tickLblPos val="nextTo"/>
        <c:crossAx val="50311936"/>
        <c:crosses val="autoZero"/>
        <c:crossBetween val="midCat"/>
      </c:valAx>
      <c:valAx>
        <c:axId val="50311936"/>
        <c:scaling>
          <c:orientation val="minMax"/>
        </c:scaling>
        <c:axPos val="l"/>
        <c:majorGridlines/>
        <c:numFmt formatCode="0.0" sourceLinked="1"/>
        <c:tickLblPos val="nextTo"/>
        <c:crossAx val="507238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488" r="0.7500000000000048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/>
            </a:pPr>
            <a:r>
              <a:rPr lang="et-EE" sz="1200"/>
              <a:t>Transpordi stsenaariumide kulud kokku,</a:t>
            </a:r>
            <a:r>
              <a:rPr lang="et-EE" sz="1200" baseline="0"/>
              <a:t> </a:t>
            </a:r>
            <a:r>
              <a:rPr lang="et-EE" sz="1200"/>
              <a:t>M€, keskmiselt aastas, 2015-2030</a:t>
            </a:r>
          </a:p>
        </c:rich>
      </c:tx>
      <c:layout>
        <c:manualLayout>
          <c:xMode val="edge"/>
          <c:yMode val="edge"/>
          <c:x val="0.21472226247816228"/>
          <c:y val="2.5263163478527761E-2"/>
        </c:manualLayout>
      </c:layout>
    </c:title>
    <c:plotArea>
      <c:layout>
        <c:manualLayout>
          <c:layoutTarget val="inner"/>
          <c:xMode val="edge"/>
          <c:yMode val="edge"/>
          <c:x val="7.4603325345959218E-2"/>
          <c:y val="0.10568423388517414"/>
          <c:w val="0.62229099676982413"/>
          <c:h val="0.837618861747504"/>
        </c:manualLayout>
      </c:layout>
      <c:barChart>
        <c:barDir val="bar"/>
        <c:grouping val="clustered"/>
        <c:ser>
          <c:idx val="4"/>
          <c:order val="0"/>
          <c:tx>
            <c:strRef>
              <c:f>Jooniseks_AastaKeskmine!$A$19</c:f>
              <c:strCache>
                <c:ptCount val="1"/>
                <c:pt idx="0">
                  <c:v>Kulutused kütustele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Jooniseks_AastaKeskmine!$B$19:$D$19</c:f>
              <c:numCache>
                <c:formatCode>#,##0</c:formatCode>
                <c:ptCount val="3"/>
                <c:pt idx="0">
                  <c:v>1481.25</c:v>
                </c:pt>
                <c:pt idx="1">
                  <c:v>1293.75</c:v>
                </c:pt>
                <c:pt idx="2">
                  <c:v>1093.75</c:v>
                </c:pt>
              </c:numCache>
            </c:numRef>
          </c:val>
        </c:ser>
        <c:ser>
          <c:idx val="8"/>
          <c:order val="1"/>
          <c:tx>
            <c:strRef>
              <c:f>Jooniseks_AastaKeskmine!$A$31</c:f>
              <c:strCache>
                <c:ptCount val="1"/>
                <c:pt idx="0">
                  <c:v>Aktsiisitulu kütustelt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Jooniseks_AastaKeskmine!$B$31:$D$31</c:f>
              <c:numCache>
                <c:formatCode>#,##0</c:formatCode>
                <c:ptCount val="3"/>
                <c:pt idx="0">
                  <c:v>468.75</c:v>
                </c:pt>
                <c:pt idx="1">
                  <c:v>387.5</c:v>
                </c:pt>
                <c:pt idx="2">
                  <c:v>306.25</c:v>
                </c:pt>
              </c:numCache>
            </c:numRef>
          </c:val>
        </c:ser>
        <c:ser>
          <c:idx val="0"/>
          <c:order val="2"/>
          <c:tx>
            <c:strRef>
              <c:f>Jooniseks_AastaKeskmine!$A$36</c:f>
              <c:strCache>
                <c:ptCount val="1"/>
                <c:pt idx="0">
                  <c:v>Sõiduautode soetamine ja hooldus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Jooniseks_AastaKeskmine!$B$36:$D$36</c:f>
              <c:numCache>
                <c:formatCode>#,##0</c:formatCode>
                <c:ptCount val="3"/>
                <c:pt idx="0">
                  <c:v>975</c:v>
                </c:pt>
                <c:pt idx="1">
                  <c:v>968.75</c:v>
                </c:pt>
                <c:pt idx="2">
                  <c:v>925</c:v>
                </c:pt>
              </c:numCache>
            </c:numRef>
          </c:val>
        </c:ser>
        <c:ser>
          <c:idx val="5"/>
          <c:order val="3"/>
          <c:tx>
            <c:strRef>
              <c:f>Jooniseks_AastaKeskmine!$A$20</c:f>
              <c:strCache>
                <c:ptCount val="1"/>
                <c:pt idx="0">
                  <c:v>Transpordimaksud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Jooniseks_AastaKeskmine!$B$20:$D$20</c:f>
              <c:numCache>
                <c:formatCode>#,##0</c:formatCode>
                <c:ptCount val="3"/>
                <c:pt idx="0">
                  <c:v>25</c:v>
                </c:pt>
                <c:pt idx="1">
                  <c:v>125</c:v>
                </c:pt>
                <c:pt idx="2">
                  <c:v>231.25</c:v>
                </c:pt>
              </c:numCache>
            </c:numRef>
          </c:val>
        </c:ser>
        <c:ser>
          <c:idx val="2"/>
          <c:order val="4"/>
          <c:tx>
            <c:strRef>
              <c:f>Jooniseks_AastaKeskmine!$A$17</c:f>
              <c:strCache>
                <c:ptCount val="1"/>
                <c:pt idx="0">
                  <c:v>Taristu hooldus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Jooniseks_AastaKeskmine!$B$17:$D$17</c:f>
              <c:numCache>
                <c:formatCode>#,##0</c:formatCode>
                <c:ptCount val="3"/>
                <c:pt idx="0">
                  <c:v>256.25</c:v>
                </c:pt>
                <c:pt idx="1">
                  <c:v>256.25</c:v>
                </c:pt>
                <c:pt idx="2">
                  <c:v>256.25</c:v>
                </c:pt>
              </c:numCache>
            </c:numRef>
          </c:val>
        </c:ser>
        <c:ser>
          <c:idx val="1"/>
          <c:order val="5"/>
          <c:tx>
            <c:strRef>
              <c:f>Jooniseks_AastaKeskmine!$A$16</c:f>
              <c:strCache>
                <c:ptCount val="1"/>
                <c:pt idx="0">
                  <c:v>Taristu investeeringud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Jooniseks_AastaKeskmine!$B$16:$D$16</c:f>
              <c:numCache>
                <c:formatCode>#,##0</c:formatCode>
                <c:ptCount val="3"/>
                <c:pt idx="0">
                  <c:v>112.5</c:v>
                </c:pt>
                <c:pt idx="1">
                  <c:v>106.25</c:v>
                </c:pt>
                <c:pt idx="2">
                  <c:v>93.75</c:v>
                </c:pt>
              </c:numCache>
            </c:numRef>
          </c:val>
        </c:ser>
        <c:ser>
          <c:idx val="3"/>
          <c:order val="6"/>
          <c:tx>
            <c:strRef>
              <c:f>Jooniseks_AastaKeskmine!$A$18</c:f>
              <c:strCache>
                <c:ptCount val="1"/>
                <c:pt idx="0">
                  <c:v>Ühistranspordi toetused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Jooniseks_AastaKeskmine!$B$18:$D$18</c:f>
              <c:numCache>
                <c:formatCode>#,##0</c:formatCode>
                <c:ptCount val="3"/>
                <c:pt idx="0">
                  <c:v>87.5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</c:ser>
        <c:ser>
          <c:idx val="6"/>
          <c:order val="7"/>
          <c:tx>
            <c:strRef>
              <c:f>Jooniseks_AastaKeskmine!$A$21</c:f>
              <c:strCache>
                <c:ptCount val="1"/>
                <c:pt idx="0">
                  <c:v>Energiasäästu tegevuste kulu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Jooniseks_AastaKeskmine!$B$21:$D$21</c:f>
              <c:numCache>
                <c:formatCode>#,##0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62.5</c:v>
                </c:pt>
              </c:numCache>
            </c:numRef>
          </c:val>
        </c:ser>
        <c:ser>
          <c:idx val="7"/>
          <c:order val="8"/>
          <c:tx>
            <c:strRef>
              <c:f>Jooniseks_AastaKeskmine!$A$22</c:f>
              <c:strCache>
                <c:ptCount val="1"/>
                <c:pt idx="0">
                  <c:v>Väliskulud-tulud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Jooniseks_AastaKeskmine!$B$30:$D$30</c:f>
              <c:strCache>
                <c:ptCount val="3"/>
                <c:pt idx="0">
                  <c:v>Mittesekkuv (BAU)</c:v>
                </c:pt>
                <c:pt idx="1">
                  <c:v>Vähesekkuv (VS)</c:v>
                </c:pt>
                <c:pt idx="2">
                  <c:v>Teadmispõhine (EE)</c:v>
                </c:pt>
              </c:strCache>
            </c:strRef>
          </c:cat>
          <c:val>
            <c:numRef>
              <c:f>Jooniseks_AastaKeskmine!$B$22:$D$22</c:f>
              <c:numCache>
                <c:formatCode>#,##0</c:formatCode>
                <c:ptCount val="3"/>
                <c:pt idx="0">
                  <c:v>175</c:v>
                </c:pt>
                <c:pt idx="1">
                  <c:v>-6.25</c:v>
                </c:pt>
                <c:pt idx="2">
                  <c:v>-50</c:v>
                </c:pt>
              </c:numCache>
            </c:numRef>
          </c:val>
        </c:ser>
        <c:dLbls>
          <c:showVal val="1"/>
        </c:dLbls>
        <c:axId val="80240000"/>
        <c:axId val="80266368"/>
      </c:barChart>
      <c:catAx>
        <c:axId val="80240000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et-EE"/>
          </a:p>
        </c:txPr>
        <c:crossAx val="80266368"/>
        <c:crosses val="autoZero"/>
        <c:auto val="1"/>
        <c:lblAlgn val="ctr"/>
        <c:lblOffset val="100"/>
      </c:catAx>
      <c:valAx>
        <c:axId val="80266368"/>
        <c:scaling>
          <c:orientation val="minMax"/>
          <c:max val="1700"/>
          <c:min val="-1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8024000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2864170001951989"/>
          <c:y val="0.28178038359259244"/>
          <c:w val="0.25963731360409376"/>
          <c:h val="0.41810212817949532"/>
        </c:manualLayout>
      </c:layout>
      <c:txPr>
        <a:bodyPr/>
        <a:lstStyle/>
        <a:p>
          <a:pPr>
            <a:defRPr sz="1000"/>
          </a:pPr>
          <a:endParaRPr lang="et-EE"/>
        </a:p>
      </c:txPr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/>
            </a:pPr>
            <a:r>
              <a:rPr lang="et-EE" sz="1200"/>
              <a:t>Transpordi energiasäästumeetmete k</a:t>
            </a:r>
            <a:r>
              <a:rPr lang="en-US" sz="1200"/>
              <a:t>ulutõhusus</a:t>
            </a:r>
            <a:r>
              <a:rPr lang="et-EE" sz="1200"/>
              <a:t> (</a:t>
            </a:r>
            <a:r>
              <a:rPr lang="en-US" sz="1200"/>
              <a:t>1000 </a:t>
            </a:r>
            <a:r>
              <a:rPr lang="et-EE" sz="1200"/>
              <a:t>€</a:t>
            </a:r>
            <a:r>
              <a:rPr lang="en-US" sz="1200"/>
              <a:t>/TJ</a:t>
            </a:r>
            <a:r>
              <a:rPr lang="et-EE" sz="1200"/>
              <a:t>) ja </a:t>
            </a:r>
          </a:p>
          <a:p>
            <a:pPr>
              <a:defRPr/>
            </a:pPr>
            <a:r>
              <a:rPr lang="et-EE" sz="1200"/>
              <a:t>energiasäästupotentsiaal (%</a:t>
            </a:r>
            <a:r>
              <a:rPr lang="et-EE" sz="1200" baseline="0"/>
              <a:t> 2020 tarbimisest)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871386629726544"/>
          <c:y val="1.4115913857021769E-2"/>
        </c:manualLayout>
      </c:layout>
      <c:overlay val="1"/>
    </c:title>
    <c:plotArea>
      <c:layout>
        <c:manualLayout>
          <c:layoutTarget val="inner"/>
          <c:xMode val="edge"/>
          <c:yMode val="edge"/>
          <c:x val="0.28978759032980889"/>
          <c:y val="0.19135853271866887"/>
          <c:w val="0.43486991100202876"/>
          <c:h val="0.59091530822668059"/>
        </c:manualLayout>
      </c:layout>
      <c:radarChart>
        <c:radarStyle val="marker"/>
        <c:ser>
          <c:idx val="7"/>
          <c:order val="0"/>
          <c:tx>
            <c:strRef>
              <c:f>Aruandesse2020_maksumus!$I$29</c:f>
              <c:strCache>
                <c:ptCount val="1"/>
                <c:pt idx="0">
                  <c:v>Kulutõhusus 1000 EUR/TJ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7.7626065341343435E-3"/>
                  <c:y val="9.35373946116204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5525213068268607E-2"/>
                  <c:y val="1.870747892232400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t-EE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Aruandesse2020_maksumus!$A$30:$A$53</c:f>
              <c:strCache>
                <c:ptCount val="24"/>
                <c:pt idx="0">
                  <c:v>Autode teekasutustasud</c:v>
                </c:pt>
                <c:pt idx="1">
                  <c:v>Maakasutuse suunamine</c:v>
                </c:pt>
                <c:pt idx="2">
                  <c:v>Sõiduauto  aastamaks</c:v>
                </c:pt>
                <c:pt idx="3">
                  <c:v>Sõiduauto reg. maks</c:v>
                </c:pt>
                <c:pt idx="4">
                  <c:v>Ühistranspordi arendamine</c:v>
                </c:pt>
                <c:pt idx="5">
                  <c:v>Rail Baltic </c:v>
                </c:pt>
                <c:pt idx="6">
                  <c:v>Säästlik sõiduviis</c:v>
                </c:pt>
                <c:pt idx="7">
                  <c:v>Linnade parkimispoliitika</c:v>
                </c:pt>
                <c:pt idx="8">
                  <c:v>Tallinna ummikumaks </c:v>
                </c:pt>
                <c:pt idx="9">
                  <c:v>Kütuseaktsiisi tõstmine</c:v>
                </c:pt>
                <c:pt idx="10">
                  <c:v>Linnatänavate uus disain</c:v>
                </c:pt>
                <c:pt idx="11">
                  <c:v> Kaugtöö, e-teenused</c:v>
                </c:pt>
                <c:pt idx="12">
                  <c:v>Raudtee elektrifit.</c:v>
                </c:pt>
                <c:pt idx="13">
                  <c:v>Veokite säästlikud rehvid</c:v>
                </c:pt>
                <c:pt idx="14">
                  <c:v>Kergliikluse arendamine</c:v>
                </c:pt>
                <c:pt idx="15">
                  <c:v>Raskeveokite aerodünaamika</c:v>
                </c:pt>
                <c:pt idx="16">
                  <c:v> Raskeveokite teekasutustasud</c:v>
                </c:pt>
                <c:pt idx="17">
                  <c:v>ÜT kampaaniad ja otseturundus</c:v>
                </c:pt>
                <c:pt idx="18">
                  <c:v>Linnade liikuvuskorraldus</c:v>
                </c:pt>
                <c:pt idx="19">
                  <c:v>Autode kooskasutus</c:v>
                </c:pt>
                <c:pt idx="20">
                  <c:v>Mitmemootorilised vedurid</c:v>
                </c:pt>
                <c:pt idx="21">
                  <c:v>Elektriautode soodustused</c:v>
                </c:pt>
                <c:pt idx="22">
                  <c:v>Kütusesäästlikud bussid</c:v>
                </c:pt>
                <c:pt idx="23">
                  <c:v>&lt;12t veokite start-stop</c:v>
                </c:pt>
              </c:strCache>
            </c:strRef>
          </c:cat>
          <c:val>
            <c:numRef>
              <c:f>Aruandesse2020_maksumus!$I$30:$I$53</c:f>
              <c:numCache>
                <c:formatCode>0</c:formatCode>
                <c:ptCount val="24"/>
                <c:pt idx="0">
                  <c:v>-30</c:v>
                </c:pt>
                <c:pt idx="1">
                  <c:v>-40</c:v>
                </c:pt>
                <c:pt idx="2">
                  <c:v>-50</c:v>
                </c:pt>
                <c:pt idx="3">
                  <c:v>-40</c:v>
                </c:pt>
                <c:pt idx="4">
                  <c:v>-40</c:v>
                </c:pt>
                <c:pt idx="5">
                  <c:v>3</c:v>
                </c:pt>
                <c:pt idx="6">
                  <c:v>-40</c:v>
                </c:pt>
                <c:pt idx="7">
                  <c:v>-50</c:v>
                </c:pt>
                <c:pt idx="8">
                  <c:v>-40</c:v>
                </c:pt>
                <c:pt idx="9">
                  <c:v>-50</c:v>
                </c:pt>
                <c:pt idx="10">
                  <c:v>-50</c:v>
                </c:pt>
                <c:pt idx="11">
                  <c:v>-40</c:v>
                </c:pt>
                <c:pt idx="12">
                  <c:v>-10</c:v>
                </c:pt>
                <c:pt idx="13">
                  <c:v>-10</c:v>
                </c:pt>
                <c:pt idx="14">
                  <c:v>-40</c:v>
                </c:pt>
                <c:pt idx="15">
                  <c:v>-10</c:v>
                </c:pt>
                <c:pt idx="16">
                  <c:v>10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10</c:v>
                </c:pt>
                <c:pt idx="21">
                  <c:v>50</c:v>
                </c:pt>
                <c:pt idx="22">
                  <c:v>50</c:v>
                </c:pt>
                <c:pt idx="23">
                  <c:v>-20</c:v>
                </c:pt>
              </c:numCache>
            </c:numRef>
          </c:val>
        </c:ser>
        <c:axId val="81029376"/>
        <c:axId val="81035264"/>
      </c:radarChart>
      <c:radarChart>
        <c:radarStyle val="marker"/>
        <c:ser>
          <c:idx val="0"/>
          <c:order val="1"/>
          <c:tx>
            <c:strRef>
              <c:f>Aruandesse2020_maksumus!$C$29</c:f>
              <c:strCache>
                <c:ptCount val="1"/>
                <c:pt idx="0">
                  <c:v>% 2020 tarbimisest</c:v>
                </c:pt>
              </c:strCache>
            </c:strRef>
          </c:tx>
          <c:marker>
            <c:symbol val="none"/>
          </c:marker>
          <c:val>
            <c:numRef>
              <c:f>Aruandesse2020_maksumus!$C$30:$C$53</c:f>
              <c:numCache>
                <c:formatCode>0.0</c:formatCode>
                <c:ptCount val="24"/>
                <c:pt idx="0">
                  <c:v>10.389367599664142</c:v>
                </c:pt>
                <c:pt idx="1">
                  <c:v>6.5378970503588176</c:v>
                </c:pt>
                <c:pt idx="2">
                  <c:v>4.0383505356169547</c:v>
                </c:pt>
                <c:pt idx="3">
                  <c:v>4.0383505356169547</c:v>
                </c:pt>
                <c:pt idx="4">
                  <c:v>3.0231920015072551</c:v>
                </c:pt>
                <c:pt idx="5">
                  <c:v>2.9794570762104611</c:v>
                </c:pt>
                <c:pt idx="6">
                  <c:v>2.833715159387773</c:v>
                </c:pt>
                <c:pt idx="7">
                  <c:v>2.6999257866696187</c:v>
                </c:pt>
                <c:pt idx="8">
                  <c:v>2.6371756691286699</c:v>
                </c:pt>
                <c:pt idx="9">
                  <c:v>2.3614292994898118</c:v>
                </c:pt>
                <c:pt idx="10">
                  <c:v>2.2499381555580169</c:v>
                </c:pt>
                <c:pt idx="11">
                  <c:v>2.0191752678084773</c:v>
                </c:pt>
                <c:pt idx="12">
                  <c:v>1.1202426450489673</c:v>
                </c:pt>
                <c:pt idx="13">
                  <c:v>0.95008406371936616</c:v>
                </c:pt>
                <c:pt idx="14">
                  <c:v>0.86536082906077583</c:v>
                </c:pt>
                <c:pt idx="15">
                  <c:v>0.71256304778952495</c:v>
                </c:pt>
                <c:pt idx="16">
                  <c:v>0.71256304778952473</c:v>
                </c:pt>
                <c:pt idx="17">
                  <c:v>0.57690721937385048</c:v>
                </c:pt>
                <c:pt idx="18">
                  <c:v>0.47924998267515789</c:v>
                </c:pt>
                <c:pt idx="19">
                  <c:v>0.46152577549908042</c:v>
                </c:pt>
                <c:pt idx="20">
                  <c:v>0.45384677288188879</c:v>
                </c:pt>
                <c:pt idx="21">
                  <c:v>0.15661801209594806</c:v>
                </c:pt>
                <c:pt idx="22">
                  <c:v>7.8885236652452881E-2</c:v>
                </c:pt>
                <c:pt idx="23" formatCode="0.00">
                  <c:v>4.0545542094701612E-2</c:v>
                </c:pt>
              </c:numCache>
            </c:numRef>
          </c:val>
        </c:ser>
        <c:axId val="81038336"/>
        <c:axId val="81036800"/>
      </c:radarChart>
      <c:catAx>
        <c:axId val="81029376"/>
        <c:scaling>
          <c:orientation val="minMax"/>
        </c:scaling>
        <c:axPos val="b"/>
        <c:majorGridlines/>
        <c:numFmt formatCode="General" sourceLinked="0"/>
        <c:majorTickMark val="none"/>
        <c:tickLblPos val="nextTo"/>
        <c:txPr>
          <a:bodyPr/>
          <a:lstStyle/>
          <a:p>
            <a:pPr>
              <a:defRPr sz="900" baseline="0"/>
            </a:pPr>
            <a:endParaRPr lang="et-EE"/>
          </a:p>
        </c:txPr>
        <c:crossAx val="81035264"/>
        <c:crosses val="autoZero"/>
        <c:auto val="1"/>
        <c:lblAlgn val="ctr"/>
        <c:lblOffset val="100"/>
      </c:catAx>
      <c:valAx>
        <c:axId val="81035264"/>
        <c:scaling>
          <c:orientation val="maxMin"/>
        </c:scaling>
        <c:axPos val="l"/>
        <c:majorGridlines/>
        <c:numFmt formatCode="0" sourceLinked="1"/>
        <c:tickLblPos val="none"/>
        <c:txPr>
          <a:bodyPr rot="0" vert="horz" anchor="t" anchorCtr="0"/>
          <a:lstStyle/>
          <a:p>
            <a:pPr>
              <a:defRPr/>
            </a:pPr>
            <a:endParaRPr lang="et-EE"/>
          </a:p>
        </c:txPr>
        <c:crossAx val="81029376"/>
        <c:crosses val="autoZero"/>
        <c:crossBetween val="between"/>
      </c:valAx>
      <c:valAx>
        <c:axId val="81036800"/>
        <c:scaling>
          <c:orientation val="minMax"/>
        </c:scaling>
        <c:axPos val="l"/>
        <c:numFmt formatCode="0" sourceLinked="0"/>
        <c:majorTickMark val="none"/>
        <c:tickLblPos val="nextTo"/>
        <c:crossAx val="81038336"/>
        <c:crosses val="max"/>
        <c:crossBetween val="between"/>
      </c:valAx>
      <c:catAx>
        <c:axId val="81038336"/>
        <c:scaling>
          <c:orientation val="minMax"/>
        </c:scaling>
        <c:delete val="1"/>
        <c:axPos val="b"/>
        <c:majorGridlines/>
        <c:tickLblPos val="none"/>
        <c:crossAx val="81036800"/>
        <c:crosses val="max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9889873673663908"/>
          <c:y val="0.88522280404854903"/>
          <c:w val="0.42452635174819708"/>
          <c:h val="4.2963875644543334E-2"/>
        </c:manualLayout>
      </c:layout>
    </c:legend>
    <c:plotVisOnly val="1"/>
    <c:dispBlanksAs val="gap"/>
  </c:chart>
  <c:printSettings>
    <c:headerFooter/>
    <c:pageMargins b="0.75000000000000189" l="0.70000000000000162" r="0.700000000000001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BAU!$B$30</c:f>
              <c:strCache>
                <c:ptCount val="1"/>
                <c:pt idx="0">
                  <c:v>Dotatsioon</c:v>
                </c:pt>
              </c:strCache>
            </c:strRef>
          </c:tx>
          <c:marker>
            <c:symbol val="none"/>
          </c:marker>
          <c:xVal>
            <c:numRef>
              <c:f>BAU!$E$4:$L$4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BAU!$E$30:$L$30</c:f>
              <c:numCache>
                <c:formatCode>0</c:formatCode>
                <c:ptCount val="8"/>
                <c:pt idx="0">
                  <c:v>80.697777436650398</c:v>
                </c:pt>
                <c:pt idx="1">
                  <c:v>90.391963180102778</c:v>
                </c:pt>
                <c:pt idx="2">
                  <c:v>89.674422400462191</c:v>
                </c:pt>
                <c:pt idx="3">
                  <c:v>87.327340001105114</c:v>
                </c:pt>
                <c:pt idx="4">
                  <c:v>85.42777361213966</c:v>
                </c:pt>
                <c:pt idx="5">
                  <c:v>84.381662692585735</c:v>
                </c:pt>
                <c:pt idx="6">
                  <c:v>84.119718263376143</c:v>
                </c:pt>
                <c:pt idx="7">
                  <c:v>84.604209284828102</c:v>
                </c:pt>
              </c:numCache>
            </c:numRef>
          </c:yVal>
        </c:ser>
        <c:ser>
          <c:idx val="1"/>
          <c:order val="1"/>
          <c:tx>
            <c:strRef>
              <c:f>BAU!$B$31</c:f>
              <c:strCache>
                <c:ptCount val="1"/>
                <c:pt idx="0">
                  <c:v>Raudtee</c:v>
                </c:pt>
              </c:strCache>
            </c:strRef>
          </c:tx>
          <c:marker>
            <c:symbol val="none"/>
          </c:marker>
          <c:xVal>
            <c:numRef>
              <c:f>BAU!$E$4:$L$4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BAU!$E$31:$L$31</c:f>
              <c:numCache>
                <c:formatCode>0</c:formatCode>
                <c:ptCount val="8"/>
                <c:pt idx="0">
                  <c:v>16.808271672135472</c:v>
                </c:pt>
                <c:pt idx="1">
                  <c:v>20.859683810792948</c:v>
                </c:pt>
                <c:pt idx="2">
                  <c:v>21.856191028763007</c:v>
                </c:pt>
                <c:pt idx="3">
                  <c:v>22.852698246733063</c:v>
                </c:pt>
                <c:pt idx="4">
                  <c:v>23.337189268185032</c:v>
                </c:pt>
                <c:pt idx="5">
                  <c:v>23.821680289636994</c:v>
                </c:pt>
                <c:pt idx="6">
                  <c:v>24.306171311088956</c:v>
                </c:pt>
                <c:pt idx="7">
                  <c:v>24.790662332540911</c:v>
                </c:pt>
              </c:numCache>
            </c:numRef>
          </c:yVal>
        </c:ser>
        <c:ser>
          <c:idx val="2"/>
          <c:order val="2"/>
          <c:tx>
            <c:strRef>
              <c:f>BAU!$B$32</c:f>
              <c:strCache>
                <c:ptCount val="1"/>
                <c:pt idx="0">
                  <c:v>Ühistransport riik</c:v>
                </c:pt>
              </c:strCache>
            </c:strRef>
          </c:tx>
          <c:marker>
            <c:symbol val="none"/>
          </c:marker>
          <c:xVal>
            <c:numRef>
              <c:f>BAU!$E$4:$L$4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BAU!$E$32:$L$32</c:f>
              <c:numCache>
                <c:formatCode>0</c:formatCode>
                <c:ptCount val="8"/>
                <c:pt idx="0">
                  <c:v>19.609650284158047</c:v>
                </c:pt>
                <c:pt idx="1">
                  <c:v>26.074604763491184</c:v>
                </c:pt>
                <c:pt idx="2" formatCode="0.0">
                  <c:v>25.431836764387192</c:v>
                </c:pt>
                <c:pt idx="3" formatCode="0.0">
                  <c:v>24.177990657889524</c:v>
                </c:pt>
                <c:pt idx="4" formatCode="0.0">
                  <c:v>23.283969128982989</c:v>
                </c:pt>
                <c:pt idx="5" formatCode="0.0">
                  <c:v>22.709993401105777</c:v>
                </c:pt>
                <c:pt idx="6" formatCode="0.0">
                  <c:v>22.430080107107699</c:v>
                </c:pt>
                <c:pt idx="7" formatCode="0.0">
                  <c:v>22.430080107107699</c:v>
                </c:pt>
              </c:numCache>
            </c:numRef>
          </c:yVal>
        </c:ser>
        <c:ser>
          <c:idx val="3"/>
          <c:order val="3"/>
          <c:tx>
            <c:strRef>
              <c:f>BAU!$B$33</c:f>
              <c:strCache>
                <c:ptCount val="1"/>
                <c:pt idx="0">
                  <c:v>Ühistransport KOV</c:v>
                </c:pt>
              </c:strCache>
            </c:strRef>
          </c:tx>
          <c:marker>
            <c:symbol val="none"/>
          </c:marker>
          <c:xVal>
            <c:numRef>
              <c:f>BAU!$E$4:$L$4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BAU!$E$33:$L$33</c:f>
              <c:numCache>
                <c:formatCode>0</c:formatCode>
                <c:ptCount val="8"/>
                <c:pt idx="0">
                  <c:v>44.279855480356886</c:v>
                </c:pt>
                <c:pt idx="1">
                  <c:v>43.457674605818639</c:v>
                </c:pt>
                <c:pt idx="2">
                  <c:v>42.386394607311985</c:v>
                </c:pt>
                <c:pt idx="3">
                  <c:v>40.296651096482535</c:v>
                </c:pt>
                <c:pt idx="4" formatCode="0.0">
                  <c:v>38.806615214971643</c:v>
                </c:pt>
                <c:pt idx="5" formatCode="0.0">
                  <c:v>37.849989001842957</c:v>
                </c:pt>
                <c:pt idx="6" formatCode="0.0">
                  <c:v>37.383466845179491</c:v>
                </c:pt>
                <c:pt idx="7" formatCode="0.0">
                  <c:v>37.383466845179491</c:v>
                </c:pt>
              </c:numCache>
            </c:numRef>
          </c:yVal>
        </c:ser>
        <c:axId val="81097856"/>
        <c:axId val="81099392"/>
      </c:scatterChart>
      <c:valAx>
        <c:axId val="81097856"/>
        <c:scaling>
          <c:orientation val="minMax"/>
        </c:scaling>
        <c:axPos val="b"/>
        <c:numFmt formatCode="General" sourceLinked="1"/>
        <c:tickLblPos val="nextTo"/>
        <c:crossAx val="81099392"/>
        <c:crosses val="autoZero"/>
        <c:crossBetween val="midCat"/>
      </c:valAx>
      <c:valAx>
        <c:axId val="81099392"/>
        <c:scaling>
          <c:orientation val="minMax"/>
        </c:scaling>
        <c:axPos val="l"/>
        <c:majorGridlines/>
        <c:numFmt formatCode="0" sourceLinked="1"/>
        <c:tickLblPos val="nextTo"/>
        <c:crossAx val="810978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v>BAU INV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BAU!$E$10:$H$10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26</c:v>
                </c:pt>
              </c:numCache>
            </c:numRef>
          </c:yVal>
        </c:ser>
        <c:ser>
          <c:idx val="1"/>
          <c:order val="1"/>
          <c:tx>
            <c:v>BAU HOOLD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BAU!$E$22:$H$22</c:f>
              <c:numCache>
                <c:formatCode>0</c:formatCode>
                <c:ptCount val="4"/>
                <c:pt idx="0">
                  <c:v>17.567250000000001</c:v>
                </c:pt>
                <c:pt idx="1">
                  <c:v>37.567250000000001</c:v>
                </c:pt>
                <c:pt idx="2">
                  <c:v>40.975137934622964</c:v>
                </c:pt>
                <c:pt idx="3">
                  <c:v>41.13049656048004</c:v>
                </c:pt>
              </c:numCache>
            </c:numRef>
          </c:yVal>
        </c:ser>
        <c:ser>
          <c:idx val="2"/>
          <c:order val="2"/>
          <c:tx>
            <c:v>TAK INV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TAK!$E$10:$H$10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26</c:v>
                </c:pt>
              </c:numCache>
            </c:numRef>
          </c:yVal>
        </c:ser>
        <c:ser>
          <c:idx val="3"/>
          <c:order val="3"/>
          <c:tx>
            <c:v>TAK HOOLD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TAK!$E$22:$H$22</c:f>
              <c:numCache>
                <c:formatCode>0</c:formatCode>
                <c:ptCount val="4"/>
                <c:pt idx="0">
                  <c:v>17.567250000000001</c:v>
                </c:pt>
                <c:pt idx="1">
                  <c:v>37.567250000000001</c:v>
                </c:pt>
                <c:pt idx="2">
                  <c:v>43.504604526566084</c:v>
                </c:pt>
                <c:pt idx="3">
                  <c:v>42.708759800591473</c:v>
                </c:pt>
              </c:numCache>
            </c:numRef>
          </c:yVal>
        </c:ser>
        <c:ser>
          <c:idx val="4"/>
          <c:order val="4"/>
          <c:tx>
            <c:v>EE INV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EE!$E$10:$H$10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</c:ser>
        <c:ser>
          <c:idx val="5"/>
          <c:order val="5"/>
          <c:tx>
            <c:v>EE HOOLD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EE!$E$22:$H$22</c:f>
              <c:numCache>
                <c:formatCode>0</c:formatCode>
                <c:ptCount val="4"/>
                <c:pt idx="0">
                  <c:v>17.567250000000001</c:v>
                </c:pt>
                <c:pt idx="1">
                  <c:v>43.853996629770378</c:v>
                </c:pt>
                <c:pt idx="2">
                  <c:v>45.354711505812794</c:v>
                </c:pt>
                <c:pt idx="3">
                  <c:v>46.843748520170074</c:v>
                </c:pt>
              </c:numCache>
            </c:numRef>
          </c:yVal>
        </c:ser>
        <c:axId val="81228160"/>
        <c:axId val="81229696"/>
      </c:scatterChart>
      <c:valAx>
        <c:axId val="81228160"/>
        <c:scaling>
          <c:orientation val="minMax"/>
        </c:scaling>
        <c:axPos val="b"/>
        <c:numFmt formatCode="General" sourceLinked="1"/>
        <c:tickLblPos val="nextTo"/>
        <c:crossAx val="81229696"/>
        <c:crosses val="autoZero"/>
        <c:crossBetween val="midCat"/>
      </c:valAx>
      <c:valAx>
        <c:axId val="81229696"/>
        <c:scaling>
          <c:orientation val="minMax"/>
        </c:scaling>
        <c:axPos val="l"/>
        <c:majorGridlines/>
        <c:numFmt formatCode="0" sourceLinked="1"/>
        <c:tickLblPos val="nextTo"/>
        <c:crossAx val="812281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v>autode import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BAU!$E$13:$H$13</c:f>
              <c:numCache>
                <c:formatCode>0</c:formatCode>
                <c:ptCount val="4"/>
                <c:pt idx="0">
                  <c:v>655.77492307692319</c:v>
                </c:pt>
                <c:pt idx="1">
                  <c:v>639.11626923076926</c:v>
                </c:pt>
                <c:pt idx="2">
                  <c:v>670.1953961538461</c:v>
                </c:pt>
                <c:pt idx="3">
                  <c:v>677.7649923076923</c:v>
                </c:pt>
              </c:numCache>
            </c:numRef>
          </c:yVal>
        </c:ser>
        <c:ser>
          <c:idx val="1"/>
          <c:order val="1"/>
          <c:tx>
            <c:v>kasutatud era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BAU!$E$16:$H$16</c:f>
              <c:numCache>
                <c:formatCode>0</c:formatCode>
                <c:ptCount val="4"/>
                <c:pt idx="0">
                  <c:v>175.5</c:v>
                </c:pt>
                <c:pt idx="1">
                  <c:v>141.75</c:v>
                </c:pt>
                <c:pt idx="2">
                  <c:v>124.875</c:v>
                </c:pt>
                <c:pt idx="3">
                  <c:v>108</c:v>
                </c:pt>
              </c:numCache>
            </c:numRef>
          </c:yVal>
        </c:ser>
        <c:ser>
          <c:idx val="2"/>
          <c:order val="2"/>
          <c:tx>
            <c:v>kasutatud firma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TAK!$E$17:$H$17</c:f>
              <c:numCache>
                <c:formatCode>0</c:formatCode>
                <c:ptCount val="4"/>
                <c:pt idx="0">
                  <c:v>73.125</c:v>
                </c:pt>
                <c:pt idx="1">
                  <c:v>58.78125</c:v>
                </c:pt>
                <c:pt idx="2">
                  <c:v>51.75</c:v>
                </c:pt>
                <c:pt idx="3">
                  <c:v>44.71875</c:v>
                </c:pt>
              </c:numCache>
            </c:numRef>
          </c:yVal>
        </c:ser>
        <c:ser>
          <c:idx val="3"/>
          <c:order val="3"/>
          <c:tx>
            <c:v>uued firma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TAK!$E$15:$H$15</c:f>
              <c:numCache>
                <c:formatCode>0</c:formatCode>
                <c:ptCount val="4"/>
                <c:pt idx="0">
                  <c:v>271.38461538461542</c:v>
                </c:pt>
                <c:pt idx="1">
                  <c:v>289.38461538461542</c:v>
                </c:pt>
                <c:pt idx="2">
                  <c:v>324</c:v>
                </c:pt>
                <c:pt idx="3">
                  <c:v>344.76923076923077</c:v>
                </c:pt>
              </c:numCache>
            </c:numRef>
          </c:yVal>
        </c:ser>
        <c:ser>
          <c:idx val="5"/>
          <c:order val="4"/>
          <c:tx>
            <c:v>uued era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EE!$E$14:$H$14</c:f>
              <c:numCache>
                <c:formatCode>0</c:formatCode>
                <c:ptCount val="4"/>
                <c:pt idx="0">
                  <c:v>135.76530769230772</c:v>
                </c:pt>
                <c:pt idx="1">
                  <c:v>161.8560358974359</c:v>
                </c:pt>
                <c:pt idx="2">
                  <c:v>195.61408974358977</c:v>
                </c:pt>
                <c:pt idx="3">
                  <c:v>197.96408974358977</c:v>
                </c:pt>
              </c:numCache>
            </c:numRef>
          </c:yVal>
        </c:ser>
        <c:axId val="81557760"/>
        <c:axId val="81567744"/>
      </c:scatterChart>
      <c:valAx>
        <c:axId val="81557760"/>
        <c:scaling>
          <c:orientation val="minMax"/>
        </c:scaling>
        <c:axPos val="b"/>
        <c:numFmt formatCode="General" sourceLinked="1"/>
        <c:tickLblPos val="nextTo"/>
        <c:crossAx val="81567744"/>
        <c:crosses val="autoZero"/>
        <c:crossBetween val="midCat"/>
      </c:valAx>
      <c:valAx>
        <c:axId val="81567744"/>
        <c:scaling>
          <c:orientation val="minMax"/>
        </c:scaling>
        <c:axPos val="l"/>
        <c:majorGridlines/>
        <c:numFmt formatCode="0" sourceLinked="1"/>
        <c:tickLblPos val="nextTo"/>
        <c:crossAx val="815577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3"/>
          <c:order val="0"/>
          <c:tx>
            <c:v>autode import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TAK!$E$13:$H$13</c:f>
              <c:numCache>
                <c:formatCode>0</c:formatCode>
                <c:ptCount val="4"/>
                <c:pt idx="0">
                  <c:v>655.77492307692319</c:v>
                </c:pt>
                <c:pt idx="1">
                  <c:v>634.32520641025644</c:v>
                </c:pt>
                <c:pt idx="2">
                  <c:v>666.65295000000003</c:v>
                </c:pt>
                <c:pt idx="3">
                  <c:v>674.38354615384617</c:v>
                </c:pt>
              </c:numCache>
            </c:numRef>
          </c:yVal>
        </c:ser>
        <c:ser>
          <c:idx val="0"/>
          <c:order val="1"/>
          <c:tx>
            <c:v>autode import</c:v>
          </c:tx>
          <c:xVal>
            <c:numRef>
              <c:f>TAK!$E$4:$H$4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TAK!$E$13:$H$13</c:f>
              <c:numCache>
                <c:formatCode>0</c:formatCode>
                <c:ptCount val="4"/>
                <c:pt idx="0">
                  <c:v>655.77492307692319</c:v>
                </c:pt>
                <c:pt idx="1">
                  <c:v>634.32520641025644</c:v>
                </c:pt>
                <c:pt idx="2">
                  <c:v>666.65295000000003</c:v>
                </c:pt>
                <c:pt idx="3">
                  <c:v>674.38354615384617</c:v>
                </c:pt>
              </c:numCache>
            </c:numRef>
          </c:yVal>
        </c:ser>
        <c:ser>
          <c:idx val="1"/>
          <c:order val="2"/>
          <c:tx>
            <c:v>kasutatud era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BAU!$E$16:$H$16</c:f>
              <c:numCache>
                <c:formatCode>0</c:formatCode>
                <c:ptCount val="4"/>
                <c:pt idx="0">
                  <c:v>175.5</c:v>
                </c:pt>
                <c:pt idx="1">
                  <c:v>141.75</c:v>
                </c:pt>
                <c:pt idx="2">
                  <c:v>124.875</c:v>
                </c:pt>
                <c:pt idx="3">
                  <c:v>108</c:v>
                </c:pt>
              </c:numCache>
            </c:numRef>
          </c:yVal>
        </c:ser>
        <c:ser>
          <c:idx val="2"/>
          <c:order val="3"/>
          <c:tx>
            <c:v>kasutatud firma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TAK!$E$17:$H$17</c:f>
              <c:numCache>
                <c:formatCode>0</c:formatCode>
                <c:ptCount val="4"/>
                <c:pt idx="0">
                  <c:v>73.125</c:v>
                </c:pt>
                <c:pt idx="1">
                  <c:v>58.78125</c:v>
                </c:pt>
                <c:pt idx="2">
                  <c:v>51.75</c:v>
                </c:pt>
                <c:pt idx="3">
                  <c:v>44.71875</c:v>
                </c:pt>
              </c:numCache>
            </c:numRef>
          </c:yVal>
        </c:ser>
        <c:ser>
          <c:idx val="5"/>
          <c:order val="4"/>
          <c:tx>
            <c:v>uued era</c:v>
          </c:tx>
          <c:xVal>
            <c:numRef>
              <c:f>BAU!$E$4:$H$4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xVal>
          <c:yVal>
            <c:numRef>
              <c:f>EE!$E$14:$H$14</c:f>
              <c:numCache>
                <c:formatCode>0</c:formatCode>
                <c:ptCount val="4"/>
                <c:pt idx="0">
                  <c:v>135.76530769230772</c:v>
                </c:pt>
                <c:pt idx="1">
                  <c:v>161.8560358974359</c:v>
                </c:pt>
                <c:pt idx="2">
                  <c:v>195.61408974358977</c:v>
                </c:pt>
                <c:pt idx="3">
                  <c:v>197.96408974358977</c:v>
                </c:pt>
              </c:numCache>
            </c:numRef>
          </c:yVal>
        </c:ser>
        <c:axId val="80880384"/>
        <c:axId val="80881920"/>
      </c:scatterChart>
      <c:valAx>
        <c:axId val="80880384"/>
        <c:scaling>
          <c:orientation val="minMax"/>
        </c:scaling>
        <c:axPos val="b"/>
        <c:numFmt formatCode="General" sourceLinked="1"/>
        <c:tickLblPos val="nextTo"/>
        <c:crossAx val="80881920"/>
        <c:crosses val="autoZero"/>
        <c:crossBetween val="midCat"/>
      </c:valAx>
      <c:valAx>
        <c:axId val="80881920"/>
        <c:scaling>
          <c:orientation val="minMax"/>
        </c:scaling>
        <c:axPos val="l"/>
        <c:majorGridlines/>
        <c:numFmt formatCode="0" sourceLinked="1"/>
        <c:tickLblPos val="nextTo"/>
        <c:crossAx val="8088038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'kl tervisemõju'!#REF!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'kl tervisemõju'!$B$8:$J$8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'kl tervisemõju'!#REF!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strRef>
              <c:f>'kl tervisemõju'!$A$9</c:f>
              <c:strCache>
                <c:ptCount val="1"/>
                <c:pt idx="0">
                  <c:v>TAK</c:v>
                </c:pt>
              </c:strCache>
            </c:strRef>
          </c:tx>
          <c:marker>
            <c:symbol val="none"/>
          </c:marker>
          <c:xVal>
            <c:numRef>
              <c:f>'kl tervisemõju'!$B$8:$J$8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'kl tervisemõju'!$B$9:$J$9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18720</c:v>
                </c:pt>
                <c:pt idx="3">
                  <c:v>39959.999999999993</c:v>
                </c:pt>
                <c:pt idx="4">
                  <c:v>61199.999999999993</c:v>
                </c:pt>
                <c:pt idx="5">
                  <c:v>101751.30462934884</c:v>
                </c:pt>
                <c:pt idx="6">
                  <c:v>142302.60925869769</c:v>
                </c:pt>
                <c:pt idx="7">
                  <c:v>182853.91388804658</c:v>
                </c:pt>
                <c:pt idx="8">
                  <c:v>223405.21851739538</c:v>
                </c:pt>
              </c:numCache>
            </c:numRef>
          </c:yVal>
        </c:ser>
        <c:ser>
          <c:idx val="2"/>
          <c:order val="2"/>
          <c:tx>
            <c:strRef>
              <c:f>'kl tervisemõju'!$A$10</c:f>
              <c:strCache>
                <c:ptCount val="1"/>
                <c:pt idx="0">
                  <c:v>EE</c:v>
                </c:pt>
              </c:strCache>
            </c:strRef>
          </c:tx>
          <c:marker>
            <c:symbol val="none"/>
          </c:marker>
          <c:xVal>
            <c:numRef>
              <c:f>'kl tervisemõju'!$B$8:$J$8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'kl tervisemõju'!$B$10:$J$10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34421.274221411193</c:v>
                </c:pt>
                <c:pt idx="3">
                  <c:v>108382.50656135577</c:v>
                </c:pt>
                <c:pt idx="4">
                  <c:v>182343.73890130033</c:v>
                </c:pt>
                <c:pt idx="5">
                  <c:v>271681.18975507043</c:v>
                </c:pt>
                <c:pt idx="6">
                  <c:v>361018.64060884045</c:v>
                </c:pt>
                <c:pt idx="7">
                  <c:v>450356.09146261052</c:v>
                </c:pt>
                <c:pt idx="8">
                  <c:v>539693.54231638054</c:v>
                </c:pt>
              </c:numCache>
            </c:numRef>
          </c:yVal>
        </c:ser>
        <c:axId val="77829248"/>
        <c:axId val="77830784"/>
      </c:scatterChart>
      <c:valAx>
        <c:axId val="77829248"/>
        <c:scaling>
          <c:orientation val="minMax"/>
        </c:scaling>
        <c:axPos val="b"/>
        <c:numFmt formatCode="General" sourceLinked="1"/>
        <c:tickLblPos val="nextTo"/>
        <c:crossAx val="77830784"/>
        <c:crosses val="autoZero"/>
        <c:crossBetween val="midCat"/>
      </c:valAx>
      <c:valAx>
        <c:axId val="77830784"/>
        <c:scaling>
          <c:orientation val="minMax"/>
        </c:scaling>
        <c:axPos val="l"/>
        <c:majorGridlines/>
        <c:numFmt formatCode="General" sourceLinked="1"/>
        <c:tickLblPos val="nextTo"/>
        <c:crossAx val="77829248"/>
        <c:crosses val="autoZero"/>
        <c:crossBetween val="midCat"/>
      </c:valAx>
    </c:plotArea>
    <c:legend>
      <c:legendPos val="r"/>
      <c:legendEntry>
        <c:idx val="0"/>
        <c:delete val="1"/>
      </c:legendEntry>
    </c:legend>
    <c:plotVisOnly val="1"/>
    <c:dispBlanksAs val="gap"/>
  </c:chart>
  <c:printSettings>
    <c:headerFooter/>
    <c:pageMargins b="1" l="0.75000000000000389" r="0.750000000000003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STREAM!$A$96</c:f>
              <c:strCache>
                <c:ptCount val="1"/>
                <c:pt idx="0">
                  <c:v>car 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STREAM!$B$96:$J$96</c:f>
              <c:numCache>
                <c:formatCode>#,##0.00</c:formatCode>
                <c:ptCount val="9"/>
                <c:pt idx="0" formatCode="0.0">
                  <c:v>6104.4</c:v>
                </c:pt>
                <c:pt idx="1">
                  <c:v>7035.0269874759888</c:v>
                </c:pt>
                <c:pt idx="2" formatCode="0.0">
                  <c:v>7965.653974951977</c:v>
                </c:pt>
                <c:pt idx="3">
                  <c:v>8555.5911236007796</c:v>
                </c:pt>
                <c:pt idx="4" formatCode="0.0">
                  <c:v>9145.5282722495813</c:v>
                </c:pt>
                <c:pt idx="5">
                  <c:v>9381.8095034988946</c:v>
                </c:pt>
                <c:pt idx="6">
                  <c:v>9618.0907347482098</c:v>
                </c:pt>
                <c:pt idx="7">
                  <c:v>9854.3719659975231</c:v>
                </c:pt>
                <c:pt idx="8" formatCode="0.0">
                  <c:v>10090.653197246836</c:v>
                </c:pt>
              </c:numCache>
            </c:numRef>
          </c:yVal>
        </c:ser>
        <c:ser>
          <c:idx val="1"/>
          <c:order val="1"/>
          <c:tx>
            <c:strRef>
              <c:f>STREAM!$A$97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STREAM!$B$97:$J$97</c:f>
              <c:numCache>
                <c:formatCode>#,##0.00</c:formatCode>
                <c:ptCount val="9"/>
                <c:pt idx="0" formatCode="0.0">
                  <c:v>2068.4302996314696</c:v>
                </c:pt>
                <c:pt idx="1">
                  <c:v>2068.4302996314696</c:v>
                </c:pt>
                <c:pt idx="2">
                  <c:v>2068.4302996314696</c:v>
                </c:pt>
                <c:pt idx="3">
                  <c:v>2017.441192910982</c:v>
                </c:pt>
                <c:pt idx="4">
                  <c:v>1966.4520861904941</c:v>
                </c:pt>
                <c:pt idx="5">
                  <c:v>1991.9466395507379</c:v>
                </c:pt>
                <c:pt idx="6">
                  <c:v>2017.441192910982</c:v>
                </c:pt>
                <c:pt idx="7">
                  <c:v>2042.9357462712258</c:v>
                </c:pt>
                <c:pt idx="8" formatCode="0.0">
                  <c:v>2068.4302996314696</c:v>
                </c:pt>
              </c:numCache>
            </c:numRef>
          </c:yVal>
        </c:ser>
        <c:ser>
          <c:idx val="2"/>
          <c:order val="2"/>
          <c:tx>
            <c:strRef>
              <c:f>STREAM!$A$98</c:f>
              <c:strCache>
                <c:ptCount val="1"/>
                <c:pt idx="0">
                  <c:v>train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STREAM!$B$98:$J$98</c:f>
              <c:numCache>
                <c:formatCode>#,##0.00</c:formatCode>
                <c:ptCount val="9"/>
                <c:pt idx="0" formatCode="0.0">
                  <c:v>322.15726646370774</c:v>
                </c:pt>
                <c:pt idx="1">
                  <c:v>483.23589969556161</c:v>
                </c:pt>
                <c:pt idx="2">
                  <c:v>644.31453292741548</c:v>
                </c:pt>
                <c:pt idx="3">
                  <c:v>679.6940094074339</c:v>
                </c:pt>
                <c:pt idx="4">
                  <c:v>715.07348588745242</c:v>
                </c:pt>
                <c:pt idx="5">
                  <c:v>732.27460434312911</c:v>
                </c:pt>
                <c:pt idx="6">
                  <c:v>749.4757227988058</c:v>
                </c:pt>
                <c:pt idx="7">
                  <c:v>766.6768412544825</c:v>
                </c:pt>
                <c:pt idx="8" formatCode="0.0">
                  <c:v>783.87795971015919</c:v>
                </c:pt>
              </c:numCache>
            </c:numRef>
          </c:yVal>
        </c:ser>
        <c:ser>
          <c:idx val="3"/>
          <c:order val="3"/>
          <c:tx>
            <c:strRef>
              <c:f>STREAM!$A$99</c:f>
              <c:strCache>
                <c:ptCount val="1"/>
                <c:pt idx="0">
                  <c:v>Trucks and cargo vans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STREAM!$B$99:$J$99</c:f>
              <c:numCache>
                <c:formatCode>#,##0.00</c:formatCode>
                <c:ptCount val="9"/>
                <c:pt idx="0" formatCode="0.0">
                  <c:v>5000</c:v>
                </c:pt>
                <c:pt idx="1">
                  <c:v>6095.5806435567301</c:v>
                </c:pt>
                <c:pt idx="2">
                  <c:v>7191.1612871134603</c:v>
                </c:pt>
                <c:pt idx="3">
                  <c:v>8058.4705239903897</c:v>
                </c:pt>
                <c:pt idx="4">
                  <c:v>8925.7797608673191</c:v>
                </c:pt>
                <c:pt idx="5">
                  <c:v>9067.5650231768468</c:v>
                </c:pt>
                <c:pt idx="6">
                  <c:v>9209.3502854863746</c:v>
                </c:pt>
                <c:pt idx="7">
                  <c:v>9351.1355477959023</c:v>
                </c:pt>
                <c:pt idx="8" formatCode="0.0">
                  <c:v>9492.9208101054301</c:v>
                </c:pt>
              </c:numCache>
            </c:numRef>
          </c:yVal>
        </c:ser>
        <c:ser>
          <c:idx val="4"/>
          <c:order val="4"/>
          <c:tx>
            <c:strRef>
              <c:f>STREAM!$A$100</c:f>
              <c:strCache>
                <c:ptCount val="1"/>
                <c:pt idx="0">
                  <c:v>Train*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STREAM!$B$100:$J$100</c:f>
              <c:numCache>
                <c:formatCode>#,##0.00</c:formatCode>
                <c:ptCount val="9"/>
                <c:pt idx="0" formatCode="0.0">
                  <c:v>6638</c:v>
                </c:pt>
                <c:pt idx="1">
                  <c:v>6637.997517129289</c:v>
                </c:pt>
                <c:pt idx="2">
                  <c:v>6637.995034258578</c:v>
                </c:pt>
                <c:pt idx="3">
                  <c:v>6685.7390058774881</c:v>
                </c:pt>
                <c:pt idx="4">
                  <c:v>6733.4829774963982</c:v>
                </c:pt>
                <c:pt idx="5">
                  <c:v>6840.443789414112</c:v>
                </c:pt>
                <c:pt idx="6">
                  <c:v>6947.4046013318257</c:v>
                </c:pt>
                <c:pt idx="7">
                  <c:v>7054.3654132495394</c:v>
                </c:pt>
                <c:pt idx="8" formatCode="0.0">
                  <c:v>7161.3262251672531</c:v>
                </c:pt>
              </c:numCache>
            </c:numRef>
          </c:yVal>
        </c:ser>
        <c:axId val="82117376"/>
        <c:axId val="82118912"/>
      </c:scatterChart>
      <c:valAx>
        <c:axId val="82117376"/>
        <c:scaling>
          <c:orientation val="minMax"/>
          <c:max val="2050"/>
          <c:min val="2010"/>
        </c:scaling>
        <c:axPos val="b"/>
        <c:numFmt formatCode="General" sourceLinked="1"/>
        <c:tickLblPos val="nextTo"/>
        <c:crossAx val="82118912"/>
        <c:crosses val="autoZero"/>
        <c:crossBetween val="midCat"/>
      </c:valAx>
      <c:valAx>
        <c:axId val="82118912"/>
        <c:scaling>
          <c:orientation val="minMax"/>
        </c:scaling>
        <c:axPos val="l"/>
        <c:majorGridlines/>
        <c:numFmt formatCode="0" sourceLinked="0"/>
        <c:tickLblPos val="nextTo"/>
        <c:crossAx val="82117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04856432073405"/>
          <c:y val="0.15942744710985338"/>
          <c:w val="0.19264776384316601"/>
          <c:h val="0.56793351523199198"/>
        </c:manualLayout>
      </c:layout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STREAM!$A$103</c:f>
              <c:strCache>
                <c:ptCount val="1"/>
                <c:pt idx="0">
                  <c:v>car </c:v>
                </c:pt>
              </c:strCache>
            </c:strRef>
          </c:tx>
          <c:marker>
            <c:symbol val="none"/>
          </c:marker>
          <c:xVal>
            <c:numRef>
              <c:f>STREAM!$B$102:$J$102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STREAM!$B$103:$J$103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 formatCode="0.00">
                  <c:v>1.1322847785989627</c:v>
                </c:pt>
                <c:pt idx="3" formatCode="0.00">
                  <c:v>1.2161419051883886</c:v>
                </c:pt>
                <c:pt idx="4" formatCode="0.00">
                  <c:v>1.2999990317778145</c:v>
                </c:pt>
                <c:pt idx="5" formatCode="0.00">
                  <c:v>1.3335854318968119</c:v>
                </c:pt>
                <c:pt idx="6" formatCode="0.00">
                  <c:v>1.3671718320158097</c:v>
                </c:pt>
                <c:pt idx="7" formatCode="0.00">
                  <c:v>1.4007582321348071</c:v>
                </c:pt>
                <c:pt idx="8" formatCode="0.00">
                  <c:v>1.4343446322538045</c:v>
                </c:pt>
              </c:numCache>
            </c:numRef>
          </c:yVal>
        </c:ser>
        <c:ser>
          <c:idx val="1"/>
          <c:order val="1"/>
          <c:tx>
            <c:strRef>
              <c:f>STREAM!$A$104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xVal>
            <c:numRef>
              <c:f>STREAM!$B$102:$J$102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STREAM!$B$104:$J$104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 formatCode="0.00">
                  <c:v>1</c:v>
                </c:pt>
                <c:pt idx="3" formatCode="0.00">
                  <c:v>0.97534888812566112</c:v>
                </c:pt>
                <c:pt idx="4" formatCode="0.00">
                  <c:v>0.95069777625132212</c:v>
                </c:pt>
                <c:pt idx="5" formatCode="0.00">
                  <c:v>0.96302333218849157</c:v>
                </c:pt>
                <c:pt idx="6" formatCode="0.00">
                  <c:v>0.97534888812566112</c:v>
                </c:pt>
                <c:pt idx="7" formatCode="0.00">
                  <c:v>0.98767444406283056</c:v>
                </c:pt>
                <c:pt idx="8" formatCode="0.00">
                  <c:v>1</c:v>
                </c:pt>
              </c:numCache>
            </c:numRef>
          </c:yVal>
        </c:ser>
        <c:ser>
          <c:idx val="2"/>
          <c:order val="2"/>
          <c:tx>
            <c:strRef>
              <c:f>STREAM!$A$105</c:f>
              <c:strCache>
                <c:ptCount val="1"/>
                <c:pt idx="0">
                  <c:v>train</c:v>
                </c:pt>
              </c:strCache>
            </c:strRef>
          </c:tx>
          <c:marker>
            <c:symbol val="none"/>
          </c:marker>
          <c:xVal>
            <c:numRef>
              <c:f>STREAM!$B$102:$J$102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STREAM!$B$105:$J$105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 formatCode="0.00">
                  <c:v>1.3333333333333333</c:v>
                </c:pt>
                <c:pt idx="3" formatCode="0.00">
                  <c:v>1.4065470091018502</c:v>
                </c:pt>
                <c:pt idx="4" formatCode="0.00">
                  <c:v>1.4797606848703675</c:v>
                </c:pt>
                <c:pt idx="5" formatCode="0.00">
                  <c:v>1.5153563814370203</c:v>
                </c:pt>
                <c:pt idx="6" formatCode="0.00">
                  <c:v>1.550952078003673</c:v>
                </c:pt>
                <c:pt idx="7" formatCode="0.00">
                  <c:v>1.5865477745703258</c:v>
                </c:pt>
                <c:pt idx="8" formatCode="0.00">
                  <c:v>1.6221434711369787</c:v>
                </c:pt>
              </c:numCache>
            </c:numRef>
          </c:yVal>
        </c:ser>
        <c:ser>
          <c:idx val="3"/>
          <c:order val="3"/>
          <c:tx>
            <c:strRef>
              <c:f>STREAM!$A$106</c:f>
              <c:strCache>
                <c:ptCount val="1"/>
                <c:pt idx="0">
                  <c:v>Trucks and cargo vans</c:v>
                </c:pt>
              </c:strCache>
            </c:strRef>
          </c:tx>
          <c:marker>
            <c:symbol val="none"/>
          </c:marker>
          <c:xVal>
            <c:numRef>
              <c:f>STREAM!$B$102:$J$102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STREAM!$B$106:$J$106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 formatCode="0.00">
                  <c:v>1.1797335984250823</c:v>
                </c:pt>
                <c:pt idx="3" formatCode="0.00">
                  <c:v>1.3220185237822277</c:v>
                </c:pt>
                <c:pt idx="4" formatCode="0.00">
                  <c:v>1.4643034491393729</c:v>
                </c:pt>
                <c:pt idx="5" formatCode="0.00">
                  <c:v>1.4875637865215714</c:v>
                </c:pt>
                <c:pt idx="6" formatCode="0.00">
                  <c:v>1.5108241239037699</c:v>
                </c:pt>
                <c:pt idx="7" formatCode="0.00">
                  <c:v>1.5340844612859683</c:v>
                </c:pt>
                <c:pt idx="8" formatCode="0.00">
                  <c:v>1.5573447986681668</c:v>
                </c:pt>
              </c:numCache>
            </c:numRef>
          </c:yVal>
        </c:ser>
        <c:ser>
          <c:idx val="4"/>
          <c:order val="4"/>
          <c:tx>
            <c:strRef>
              <c:f>STREAM!$A$107</c:f>
              <c:strCache>
                <c:ptCount val="1"/>
                <c:pt idx="0">
                  <c:v>Train*</c:v>
                </c:pt>
              </c:strCache>
            </c:strRef>
          </c:tx>
          <c:marker>
            <c:symbol val="none"/>
          </c:marker>
          <c:xVal>
            <c:numRef>
              <c:f>STREAM!$B$102:$J$102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STREAM!$B$107:$J$107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 formatCode="0.00">
                  <c:v>0.99999962596088587</c:v>
                </c:pt>
                <c:pt idx="3" formatCode="0.00">
                  <c:v>1.007192152245463</c:v>
                </c:pt>
                <c:pt idx="4" formatCode="0.00">
                  <c:v>1.0143846785300401</c:v>
                </c:pt>
                <c:pt idx="5" formatCode="0.00">
                  <c:v>1.0304980940053703</c:v>
                </c:pt>
                <c:pt idx="6" formatCode="0.00">
                  <c:v>1.0466115094807003</c:v>
                </c:pt>
                <c:pt idx="7" formatCode="0.00">
                  <c:v>1.0627249249560304</c:v>
                </c:pt>
                <c:pt idx="8" formatCode="0.00">
                  <c:v>1.0788383404313604</c:v>
                </c:pt>
              </c:numCache>
            </c:numRef>
          </c:yVal>
        </c:ser>
        <c:axId val="82164352"/>
        <c:axId val="82194816"/>
      </c:scatterChart>
      <c:valAx>
        <c:axId val="82164352"/>
        <c:scaling>
          <c:orientation val="minMax"/>
        </c:scaling>
        <c:axPos val="b"/>
        <c:numFmt formatCode="General" sourceLinked="1"/>
        <c:tickLblPos val="nextTo"/>
        <c:crossAx val="82194816"/>
        <c:crosses val="autoZero"/>
        <c:crossBetween val="midCat"/>
      </c:valAx>
      <c:valAx>
        <c:axId val="82194816"/>
        <c:scaling>
          <c:orientation val="minMax"/>
          <c:min val="0.8"/>
        </c:scaling>
        <c:axPos val="l"/>
        <c:majorGridlines/>
        <c:numFmt formatCode="General" sourceLinked="1"/>
        <c:tickLblPos val="nextTo"/>
        <c:crossAx val="821643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STREAM!$A$112</c:f>
              <c:strCache>
                <c:ptCount val="1"/>
                <c:pt idx="0">
                  <c:v>car </c:v>
                </c:pt>
              </c:strCache>
            </c:strRef>
          </c:tx>
          <c:marker>
            <c:symbol val="none"/>
          </c:marker>
          <c:xVal>
            <c:numRef>
              <c:f>STREAM!$B$111:$J$111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STREAM!$B$112:$J$112</c:f>
              <c:numCache>
                <c:formatCode>#,##0.00</c:formatCode>
                <c:ptCount val="9"/>
                <c:pt idx="0" formatCode="0.0">
                  <c:v>6104.4</c:v>
                </c:pt>
                <c:pt idx="1">
                  <c:v>6621.3025290697678</c:v>
                </c:pt>
                <c:pt idx="2" formatCode="0.0">
                  <c:v>7138.2050581395351</c:v>
                </c:pt>
                <c:pt idx="3">
                  <c:v>7725.9089653520114</c:v>
                </c:pt>
                <c:pt idx="4" formatCode="0">
                  <c:v>8313.6128725644885</c:v>
                </c:pt>
                <c:pt idx="5">
                  <c:v>8590.7270752749682</c:v>
                </c:pt>
                <c:pt idx="6">
                  <c:v>8867.8412779854498</c:v>
                </c:pt>
                <c:pt idx="7">
                  <c:v>9144.9554806959313</c:v>
                </c:pt>
                <c:pt idx="8" formatCode="0.0">
                  <c:v>9422.0696834064111</c:v>
                </c:pt>
              </c:numCache>
            </c:numRef>
          </c:yVal>
        </c:ser>
        <c:ser>
          <c:idx val="1"/>
          <c:order val="1"/>
          <c:tx>
            <c:strRef>
              <c:f>STREAM!$A$113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xVal>
            <c:numRef>
              <c:f>STREAM!$B$111:$J$111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STREAM!$B$113:$J$113</c:f>
              <c:numCache>
                <c:formatCode>#,##0.00</c:formatCode>
                <c:ptCount val="9"/>
                <c:pt idx="0" formatCode="0.0">
                  <c:v>2068.4302996314696</c:v>
                </c:pt>
                <c:pt idx="1">
                  <c:v>2004.3060298157347</c:v>
                </c:pt>
                <c:pt idx="2">
                  <c:v>1940.1817599999999</c:v>
                </c:pt>
                <c:pt idx="3">
                  <c:v>1904.1556209404848</c:v>
                </c:pt>
                <c:pt idx="4">
                  <c:v>1868.1294818809695</c:v>
                </c:pt>
                <c:pt idx="5">
                  <c:v>1866.5246499886343</c:v>
                </c:pt>
                <c:pt idx="6">
                  <c:v>1864.919818096299</c:v>
                </c:pt>
                <c:pt idx="7">
                  <c:v>1863.3149862039636</c:v>
                </c:pt>
                <c:pt idx="8" formatCode="0.0">
                  <c:v>1861.7101543116282</c:v>
                </c:pt>
              </c:numCache>
            </c:numRef>
          </c:yVal>
        </c:ser>
        <c:ser>
          <c:idx val="2"/>
          <c:order val="2"/>
          <c:tx>
            <c:strRef>
              <c:f>STREAM!$A$114</c:f>
              <c:strCache>
                <c:ptCount val="1"/>
                <c:pt idx="0">
                  <c:v>train</c:v>
                </c:pt>
              </c:strCache>
            </c:strRef>
          </c:tx>
          <c:marker>
            <c:symbol val="none"/>
          </c:marker>
          <c:xVal>
            <c:numRef>
              <c:f>STREAM!$B$111:$J$111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STREAM!$B$114:$J$114</c:f>
              <c:numCache>
                <c:formatCode>#,##0.00</c:formatCode>
                <c:ptCount val="9"/>
                <c:pt idx="0" formatCode="0.0">
                  <c:v>322.15726646370774</c:v>
                </c:pt>
                <c:pt idx="1">
                  <c:v>540.02038323185388</c:v>
                </c:pt>
                <c:pt idx="2">
                  <c:v>757.88350000000003</c:v>
                </c:pt>
                <c:pt idx="3">
                  <c:v>803.51663224567483</c:v>
                </c:pt>
                <c:pt idx="4">
                  <c:v>849.14976449134974</c:v>
                </c:pt>
                <c:pt idx="5">
                  <c:v>869.57609265746578</c:v>
                </c:pt>
                <c:pt idx="6">
                  <c:v>890.00242082358193</c:v>
                </c:pt>
                <c:pt idx="7">
                  <c:v>910.42874898969808</c:v>
                </c:pt>
                <c:pt idx="8" formatCode="0.0">
                  <c:v>930.85507715581412</c:v>
                </c:pt>
              </c:numCache>
            </c:numRef>
          </c:yVal>
        </c:ser>
        <c:ser>
          <c:idx val="3"/>
          <c:order val="3"/>
          <c:tx>
            <c:strRef>
              <c:f>STREAM!$A$115</c:f>
              <c:strCache>
                <c:ptCount val="1"/>
                <c:pt idx="0">
                  <c:v>Trucks and cargo vans</c:v>
                </c:pt>
              </c:strCache>
            </c:strRef>
          </c:tx>
          <c:marker>
            <c:symbol val="none"/>
          </c:marker>
          <c:xVal>
            <c:numRef>
              <c:f>STREAM!$B$111:$J$111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STREAM!$B$115:$J$115</c:f>
              <c:numCache>
                <c:formatCode>#,##0.00</c:formatCode>
                <c:ptCount val="9"/>
                <c:pt idx="0" formatCode="0.0">
                  <c:v>5000</c:v>
                </c:pt>
                <c:pt idx="1">
                  <c:v>5694.6972190008219</c:v>
                </c:pt>
                <c:pt idx="2">
                  <c:v>6389.3944380016446</c:v>
                </c:pt>
                <c:pt idx="3">
                  <c:v>7136.916613383888</c:v>
                </c:pt>
                <c:pt idx="4">
                  <c:v>7884.4387887661323</c:v>
                </c:pt>
                <c:pt idx="5">
                  <c:v>8009.6824371395478</c:v>
                </c:pt>
                <c:pt idx="6">
                  <c:v>8134.9260855129633</c:v>
                </c:pt>
                <c:pt idx="7">
                  <c:v>8260.1697338863778</c:v>
                </c:pt>
                <c:pt idx="8" formatCode="0.0">
                  <c:v>8385.4133822597942</c:v>
                </c:pt>
              </c:numCache>
            </c:numRef>
          </c:yVal>
        </c:ser>
        <c:ser>
          <c:idx val="4"/>
          <c:order val="4"/>
          <c:tx>
            <c:strRef>
              <c:f>STREAM!$A$116</c:f>
              <c:strCache>
                <c:ptCount val="1"/>
                <c:pt idx="0">
                  <c:v>Train*</c:v>
                </c:pt>
              </c:strCache>
            </c:strRef>
          </c:tx>
          <c:marker>
            <c:symbol val="none"/>
          </c:marker>
          <c:xVal>
            <c:numRef>
              <c:f>STREAM!$B$111:$J$111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STREAM!$B$116:$J$116</c:f>
              <c:numCache>
                <c:formatCode>#,##0.00</c:formatCode>
                <c:ptCount val="9"/>
                <c:pt idx="0" formatCode="0.0">
                  <c:v>6638</c:v>
                </c:pt>
                <c:pt idx="1">
                  <c:v>6921.530906532842</c:v>
                </c:pt>
                <c:pt idx="2">
                  <c:v>7205.0618130656849</c:v>
                </c:pt>
                <c:pt idx="3">
                  <c:v>7098.4613128725414</c:v>
                </c:pt>
                <c:pt idx="4">
                  <c:v>6991.8608126793988</c:v>
                </c:pt>
                <c:pt idx="5">
                  <c:v>7102.925934821862</c:v>
                </c:pt>
                <c:pt idx="6">
                  <c:v>7213.9910569643253</c:v>
                </c:pt>
                <c:pt idx="7">
                  <c:v>7325.0561791067885</c:v>
                </c:pt>
                <c:pt idx="8" formatCode="0.0">
                  <c:v>7436.1213012492508</c:v>
                </c:pt>
              </c:numCache>
            </c:numRef>
          </c:yVal>
        </c:ser>
        <c:axId val="82240256"/>
        <c:axId val="82241792"/>
      </c:scatterChart>
      <c:valAx>
        <c:axId val="82240256"/>
        <c:scaling>
          <c:orientation val="minMax"/>
        </c:scaling>
        <c:axPos val="b"/>
        <c:numFmt formatCode="General" sourceLinked="1"/>
        <c:tickLblPos val="nextTo"/>
        <c:crossAx val="82241792"/>
        <c:crosses val="autoZero"/>
        <c:crossBetween val="midCat"/>
      </c:valAx>
      <c:valAx>
        <c:axId val="82241792"/>
        <c:scaling>
          <c:orientation val="minMax"/>
        </c:scaling>
        <c:axPos val="l"/>
        <c:majorGridlines/>
        <c:numFmt formatCode="0.0" sourceLinked="1"/>
        <c:tickLblPos val="nextTo"/>
        <c:crossAx val="8224025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/>
            </a:pPr>
            <a:r>
              <a:rPr lang="et-EE" sz="1400"/>
              <a:t>Transpordi energiatarbimine, TJ.</a:t>
            </a:r>
            <a:r>
              <a:rPr lang="et-EE" sz="1400" baseline="0"/>
              <a:t> </a:t>
            </a:r>
          </a:p>
          <a:p>
            <a:pPr>
              <a:defRPr/>
            </a:pPr>
            <a:r>
              <a:rPr lang="et-EE" sz="1400" baseline="0"/>
              <a:t>M</a:t>
            </a:r>
            <a:r>
              <a:rPr lang="et-EE" sz="1400"/>
              <a:t>ittesekkuv</a:t>
            </a:r>
            <a:r>
              <a:rPr lang="et-EE" sz="1400" baseline="0"/>
              <a:t> </a:t>
            </a:r>
          </a:p>
          <a:p>
            <a:pPr>
              <a:defRPr/>
            </a:pPr>
            <a:endParaRPr lang="et-EE"/>
          </a:p>
        </c:rich>
      </c:tx>
      <c:layout/>
    </c:title>
    <c:plotArea>
      <c:layout>
        <c:manualLayout>
          <c:layoutTarget val="inner"/>
          <c:xMode val="edge"/>
          <c:yMode val="edge"/>
          <c:x val="9.5827336878307148E-2"/>
          <c:y val="0.17492069976608601"/>
          <c:w val="0.73157302051765749"/>
          <c:h val="0.71419523605575053"/>
        </c:manualLayout>
      </c:layout>
      <c:barChart>
        <c:barDir val="col"/>
        <c:grouping val="stacked"/>
        <c:ser>
          <c:idx val="1"/>
          <c:order val="0"/>
          <c:tx>
            <c:strRef>
              <c:f>TransportBAU!$B$6</c:f>
              <c:strCache>
                <c:ptCount val="1"/>
                <c:pt idx="0">
                  <c:v>Elekter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TransportBAU!$E$6:$X$6</c:f>
              <c:numCache>
                <c:formatCode>#,##0</c:formatCode>
                <c:ptCount val="20"/>
                <c:pt idx="0">
                  <c:v>209.4813399775885</c:v>
                </c:pt>
                <c:pt idx="1">
                  <c:v>209.14653437337398</c:v>
                </c:pt>
                <c:pt idx="2">
                  <c:v>208.81172876915949</c:v>
                </c:pt>
                <c:pt idx="3">
                  <c:v>208.47692316494496</c:v>
                </c:pt>
                <c:pt idx="4">
                  <c:v>208.14211756073047</c:v>
                </c:pt>
                <c:pt idx="5">
                  <c:v>207.80731195651595</c:v>
                </c:pt>
                <c:pt idx="6">
                  <c:v>225.86299252846428</c:v>
                </c:pt>
                <c:pt idx="7">
                  <c:v>243.9186731004126</c:v>
                </c:pt>
                <c:pt idx="8">
                  <c:v>261.97435367236091</c:v>
                </c:pt>
                <c:pt idx="9">
                  <c:v>280.03003424430926</c:v>
                </c:pt>
                <c:pt idx="10">
                  <c:v>298.08571481625756</c:v>
                </c:pt>
                <c:pt idx="11">
                  <c:v>316.14139538820586</c:v>
                </c:pt>
                <c:pt idx="12">
                  <c:v>334.19707596015422</c:v>
                </c:pt>
                <c:pt idx="13">
                  <c:v>352.25275653210252</c:v>
                </c:pt>
                <c:pt idx="14">
                  <c:v>370.30843710405088</c:v>
                </c:pt>
                <c:pt idx="15">
                  <c:v>388.36411767599918</c:v>
                </c:pt>
                <c:pt idx="16">
                  <c:v>525.4373583636326</c:v>
                </c:pt>
                <c:pt idx="17">
                  <c:v>662.51059905126601</c:v>
                </c:pt>
                <c:pt idx="18">
                  <c:v>731.04721939508272</c:v>
                </c:pt>
                <c:pt idx="19">
                  <c:v>936.65708042653284</c:v>
                </c:pt>
              </c:numCache>
            </c:numRef>
          </c:val>
        </c:ser>
        <c:ser>
          <c:idx val="2"/>
          <c:order val="1"/>
          <c:tx>
            <c:strRef>
              <c:f>TransportBAU!$B$7</c:f>
              <c:strCache>
                <c:ptCount val="1"/>
                <c:pt idx="0">
                  <c:v>Bensiin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TransportBAU!$E$7:$X$7</c:f>
              <c:numCache>
                <c:formatCode>#,##0</c:formatCode>
                <c:ptCount val="20"/>
                <c:pt idx="0">
                  <c:v>12866.21833970031</c:v>
                </c:pt>
                <c:pt idx="1">
                  <c:v>13339.231489640117</c:v>
                </c:pt>
                <c:pt idx="2">
                  <c:v>13812.244639579925</c:v>
                </c:pt>
                <c:pt idx="3">
                  <c:v>14285.257789519732</c:v>
                </c:pt>
                <c:pt idx="4">
                  <c:v>14758.27093945954</c:v>
                </c:pt>
                <c:pt idx="5">
                  <c:v>15231.284089399347</c:v>
                </c:pt>
                <c:pt idx="6">
                  <c:v>15165.434430999861</c:v>
                </c:pt>
                <c:pt idx="7">
                  <c:v>15099.584772600376</c:v>
                </c:pt>
                <c:pt idx="8">
                  <c:v>15033.735114200888</c:v>
                </c:pt>
                <c:pt idx="9">
                  <c:v>14967.885455801403</c:v>
                </c:pt>
                <c:pt idx="10">
                  <c:v>14902.035797401917</c:v>
                </c:pt>
                <c:pt idx="11">
                  <c:v>14836.186139002431</c:v>
                </c:pt>
                <c:pt idx="12">
                  <c:v>14770.336480602946</c:v>
                </c:pt>
                <c:pt idx="13">
                  <c:v>14704.48682220346</c:v>
                </c:pt>
                <c:pt idx="14">
                  <c:v>14638.637163803975</c:v>
                </c:pt>
                <c:pt idx="15">
                  <c:v>14572.787505404489</c:v>
                </c:pt>
                <c:pt idx="16">
                  <c:v>13331.782626746219</c:v>
                </c:pt>
                <c:pt idx="17">
                  <c:v>12090.777748087947</c:v>
                </c:pt>
                <c:pt idx="18">
                  <c:v>11470.275308758812</c:v>
                </c:pt>
                <c:pt idx="19">
                  <c:v>9608.7679907714046</c:v>
                </c:pt>
              </c:numCache>
            </c:numRef>
          </c:val>
        </c:ser>
        <c:ser>
          <c:idx val="3"/>
          <c:order val="2"/>
          <c:tx>
            <c:strRef>
              <c:f>TransportBAU!$B$8</c:f>
              <c:strCache>
                <c:ptCount val="1"/>
                <c:pt idx="0">
                  <c:v>Diislikütus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TransportBAU!$E$8:$X$8</c:f>
              <c:numCache>
                <c:formatCode>#,##0</c:formatCode>
                <c:ptCount val="20"/>
                <c:pt idx="0">
                  <c:v>20237.515077525866</c:v>
                </c:pt>
                <c:pt idx="1">
                  <c:v>20453.620552732136</c:v>
                </c:pt>
                <c:pt idx="2">
                  <c:v>20669.726027938406</c:v>
                </c:pt>
                <c:pt idx="3">
                  <c:v>20885.831503144673</c:v>
                </c:pt>
                <c:pt idx="4">
                  <c:v>21101.936978350943</c:v>
                </c:pt>
                <c:pt idx="5">
                  <c:v>21318.042453557213</c:v>
                </c:pt>
                <c:pt idx="6">
                  <c:v>21897.956577237332</c:v>
                </c:pt>
                <c:pt idx="7">
                  <c:v>22477.87070091745</c:v>
                </c:pt>
                <c:pt idx="8">
                  <c:v>23057.784824597569</c:v>
                </c:pt>
                <c:pt idx="9">
                  <c:v>23637.698948277688</c:v>
                </c:pt>
                <c:pt idx="10">
                  <c:v>24217.613071957807</c:v>
                </c:pt>
                <c:pt idx="11">
                  <c:v>24797.527195637926</c:v>
                </c:pt>
                <c:pt idx="12">
                  <c:v>25377.441319318044</c:v>
                </c:pt>
                <c:pt idx="13">
                  <c:v>25957.355442998163</c:v>
                </c:pt>
                <c:pt idx="14">
                  <c:v>26537.269566678282</c:v>
                </c:pt>
                <c:pt idx="15">
                  <c:v>27117.183690358401</c:v>
                </c:pt>
                <c:pt idx="16">
                  <c:v>26222.051947456348</c:v>
                </c:pt>
                <c:pt idx="17">
                  <c:v>25326.920204554299</c:v>
                </c:pt>
                <c:pt idx="18">
                  <c:v>24879.354333103271</c:v>
                </c:pt>
                <c:pt idx="19">
                  <c:v>23536.656718750193</c:v>
                </c:pt>
              </c:numCache>
            </c:numRef>
          </c:val>
        </c:ser>
        <c:ser>
          <c:idx val="4"/>
          <c:order val="3"/>
          <c:tx>
            <c:strRef>
              <c:f>TransportBAU!$B$9</c:f>
              <c:strCache>
                <c:ptCount val="1"/>
                <c:pt idx="0">
                  <c:v>Maagaas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TransportBAU!$E$9:$X$9</c:f>
              <c:numCache>
                <c:formatCode>#,##0</c:formatCode>
                <c:ptCount val="20"/>
                <c:pt idx="0">
                  <c:v>199.60485519164462</c:v>
                </c:pt>
                <c:pt idx="1">
                  <c:v>239.52582622997355</c:v>
                </c:pt>
                <c:pt idx="2">
                  <c:v>279.44679726830248</c:v>
                </c:pt>
                <c:pt idx="3">
                  <c:v>319.36776830663138</c:v>
                </c:pt>
                <c:pt idx="4">
                  <c:v>359.28873934496028</c:v>
                </c:pt>
                <c:pt idx="5">
                  <c:v>399.20971038328923</c:v>
                </c:pt>
                <c:pt idx="6">
                  <c:v>512.06613987805531</c:v>
                </c:pt>
                <c:pt idx="7">
                  <c:v>624.92256937282139</c:v>
                </c:pt>
                <c:pt idx="8">
                  <c:v>737.77899886758746</c:v>
                </c:pt>
                <c:pt idx="9">
                  <c:v>850.63542836235354</c:v>
                </c:pt>
                <c:pt idx="10">
                  <c:v>963.49185785711961</c:v>
                </c:pt>
                <c:pt idx="11">
                  <c:v>1076.3482873518858</c:v>
                </c:pt>
                <c:pt idx="12">
                  <c:v>1189.2047168466518</c:v>
                </c:pt>
                <c:pt idx="13">
                  <c:v>1302.061146341418</c:v>
                </c:pt>
                <c:pt idx="14">
                  <c:v>1414.9175758361839</c:v>
                </c:pt>
                <c:pt idx="15">
                  <c:v>1527.7740053309501</c:v>
                </c:pt>
                <c:pt idx="16">
                  <c:v>1610.8583722906606</c:v>
                </c:pt>
                <c:pt idx="17">
                  <c:v>1693.9427392503712</c:v>
                </c:pt>
                <c:pt idx="18">
                  <c:v>1735.4849227302266</c:v>
                </c:pt>
                <c:pt idx="19">
                  <c:v>1860.1114731697926</c:v>
                </c:pt>
              </c:numCache>
            </c:numRef>
          </c:val>
        </c:ser>
        <c:ser>
          <c:idx val="5"/>
          <c:order val="4"/>
          <c:tx>
            <c:strRef>
              <c:f>TransportBAU!$B$10</c:f>
              <c:strCache>
                <c:ptCount val="1"/>
                <c:pt idx="0">
                  <c:v>Etanool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TransportBAU!$E$10:$X$10</c:f>
              <c:numCache>
                <c:formatCode>#,##0</c:formatCode>
                <c:ptCount val="20"/>
                <c:pt idx="0">
                  <c:v>576.9425791439146</c:v>
                </c:pt>
                <c:pt idx="1">
                  <c:v>692.33109497269754</c:v>
                </c:pt>
                <c:pt idx="2">
                  <c:v>807.71961080148048</c:v>
                </c:pt>
                <c:pt idx="3">
                  <c:v>923.10812663026331</c:v>
                </c:pt>
                <c:pt idx="4">
                  <c:v>1038.4966424590461</c:v>
                </c:pt>
                <c:pt idx="5">
                  <c:v>1153.8851582878292</c:v>
                </c:pt>
                <c:pt idx="6">
                  <c:v>1159.936538337417</c:v>
                </c:pt>
                <c:pt idx="7">
                  <c:v>1165.9879183870048</c:v>
                </c:pt>
                <c:pt idx="8">
                  <c:v>1172.0392984365926</c:v>
                </c:pt>
                <c:pt idx="9">
                  <c:v>1178.0906784861804</c:v>
                </c:pt>
                <c:pt idx="10">
                  <c:v>1184.1420585357682</c:v>
                </c:pt>
                <c:pt idx="11">
                  <c:v>1190.193438585356</c:v>
                </c:pt>
                <c:pt idx="12">
                  <c:v>1196.2448186349438</c:v>
                </c:pt>
                <c:pt idx="13">
                  <c:v>1202.2961986845319</c:v>
                </c:pt>
                <c:pt idx="14">
                  <c:v>1208.3475787341197</c:v>
                </c:pt>
                <c:pt idx="15">
                  <c:v>1214.3989587837075</c:v>
                </c:pt>
                <c:pt idx="16">
                  <c:v>1155.9208515054186</c:v>
                </c:pt>
                <c:pt idx="17">
                  <c:v>1097.4427442271297</c:v>
                </c:pt>
                <c:pt idx="18">
                  <c:v>1068.2036905879852</c:v>
                </c:pt>
                <c:pt idx="19">
                  <c:v>980.48652967055182</c:v>
                </c:pt>
              </c:numCache>
            </c:numRef>
          </c:val>
        </c:ser>
        <c:ser>
          <c:idx val="6"/>
          <c:order val="5"/>
          <c:tx>
            <c:strRef>
              <c:f>TransportBAU!$B$11</c:f>
              <c:strCache>
                <c:ptCount val="1"/>
                <c:pt idx="0">
                  <c:v>Biodiisel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TransportBAU!$E$11:$X$11</c:f>
              <c:numCache>
                <c:formatCode>#,##0</c:formatCode>
                <c:ptCount val="20"/>
                <c:pt idx="0">
                  <c:v>1165.9714951902856</c:v>
                </c:pt>
                <c:pt idx="1">
                  <c:v>1399.1657942283427</c:v>
                </c:pt>
                <c:pt idx="2">
                  <c:v>1632.3600932663999</c:v>
                </c:pt>
                <c:pt idx="3">
                  <c:v>1865.554392304457</c:v>
                </c:pt>
                <c:pt idx="4">
                  <c:v>2098.7486913425141</c:v>
                </c:pt>
                <c:pt idx="5">
                  <c:v>2331.9429903805712</c:v>
                </c:pt>
                <c:pt idx="6">
                  <c:v>2403.2328899696467</c:v>
                </c:pt>
                <c:pt idx="7">
                  <c:v>2474.5227895587223</c:v>
                </c:pt>
                <c:pt idx="8">
                  <c:v>2545.8126891477978</c:v>
                </c:pt>
                <c:pt idx="9">
                  <c:v>2617.1025887368733</c:v>
                </c:pt>
                <c:pt idx="10">
                  <c:v>2688.3924883259488</c:v>
                </c:pt>
                <c:pt idx="11">
                  <c:v>2759.6823879150243</c:v>
                </c:pt>
                <c:pt idx="12">
                  <c:v>2830.9722875040998</c:v>
                </c:pt>
                <c:pt idx="13">
                  <c:v>2902.2621870931748</c:v>
                </c:pt>
                <c:pt idx="14">
                  <c:v>2973.5520866822503</c:v>
                </c:pt>
                <c:pt idx="15">
                  <c:v>3044.8419862713258</c:v>
                </c:pt>
                <c:pt idx="16">
                  <c:v>2824.7180965111138</c:v>
                </c:pt>
                <c:pt idx="17">
                  <c:v>2604.5942067509013</c:v>
                </c:pt>
                <c:pt idx="18">
                  <c:v>2494.5322618707955</c:v>
                </c:pt>
                <c:pt idx="19">
                  <c:v>2164.3464272304773</c:v>
                </c:pt>
              </c:numCache>
            </c:numRef>
          </c:val>
        </c:ser>
        <c:ser>
          <c:idx val="7"/>
          <c:order val="6"/>
          <c:tx>
            <c:strRef>
              <c:f>TransportBAU!$B$12</c:f>
              <c:strCache>
                <c:ptCount val="1"/>
                <c:pt idx="0">
                  <c:v>Biometaan</c:v>
                </c:pt>
              </c:strCache>
            </c:strRef>
          </c:tx>
          <c:cat>
            <c:numRef>
              <c:f>TransportBAU!$E$4:$X$4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TransportBAU!$E$12:$X$12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55"/>
        <c:overlap val="100"/>
        <c:axId val="76127616"/>
        <c:axId val="76035200"/>
      </c:barChart>
      <c:catAx>
        <c:axId val="76127616"/>
        <c:scaling>
          <c:orientation val="minMax"/>
        </c:scaling>
        <c:axPos val="b"/>
        <c:numFmt formatCode="General" sourceLinked="1"/>
        <c:majorTickMark val="none"/>
        <c:tickLblPos val="nextTo"/>
        <c:crossAx val="76035200"/>
        <c:crosses val="autoZero"/>
        <c:auto val="1"/>
        <c:lblAlgn val="ctr"/>
        <c:lblOffset val="100"/>
      </c:catAx>
      <c:valAx>
        <c:axId val="76035200"/>
        <c:scaling>
          <c:orientation val="minMax"/>
          <c:max val="50000"/>
        </c:scaling>
        <c:axPos val="l"/>
        <c:majorGridlines/>
        <c:numFmt formatCode="#,##0" sourceLinked="1"/>
        <c:majorTickMark val="none"/>
        <c:tickLblPos val="nextTo"/>
        <c:crossAx val="76127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STREAM!$A$96</c:f>
              <c:strCache>
                <c:ptCount val="1"/>
                <c:pt idx="0">
                  <c:v>car 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STREAM!$B$96:$J$96</c:f>
              <c:numCache>
                <c:formatCode>#,##0.00</c:formatCode>
                <c:ptCount val="9"/>
                <c:pt idx="0" formatCode="0.0">
                  <c:v>6104.4</c:v>
                </c:pt>
                <c:pt idx="1">
                  <c:v>7035.0269874759888</c:v>
                </c:pt>
                <c:pt idx="2" formatCode="0.0">
                  <c:v>7965.653974951977</c:v>
                </c:pt>
                <c:pt idx="3">
                  <c:v>8555.5911236007796</c:v>
                </c:pt>
                <c:pt idx="4" formatCode="0.0">
                  <c:v>9145.5282722495813</c:v>
                </c:pt>
                <c:pt idx="5">
                  <c:v>9381.8095034988946</c:v>
                </c:pt>
                <c:pt idx="6">
                  <c:v>9618.0907347482098</c:v>
                </c:pt>
                <c:pt idx="7">
                  <c:v>9854.3719659975231</c:v>
                </c:pt>
                <c:pt idx="8" formatCode="0.0">
                  <c:v>10090.653197246836</c:v>
                </c:pt>
              </c:numCache>
            </c:numRef>
          </c:yVal>
        </c:ser>
        <c:ser>
          <c:idx val="1"/>
          <c:order val="1"/>
          <c:tx>
            <c:strRef>
              <c:f>STREAM!$A$97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STREAM!$B$97:$J$97</c:f>
              <c:numCache>
                <c:formatCode>#,##0.00</c:formatCode>
                <c:ptCount val="9"/>
                <c:pt idx="0" formatCode="0.0">
                  <c:v>2068.4302996314696</c:v>
                </c:pt>
                <c:pt idx="1">
                  <c:v>2068.4302996314696</c:v>
                </c:pt>
                <c:pt idx="2">
                  <c:v>2068.4302996314696</c:v>
                </c:pt>
                <c:pt idx="3">
                  <c:v>2017.441192910982</c:v>
                </c:pt>
                <c:pt idx="4">
                  <c:v>1966.4520861904941</c:v>
                </c:pt>
                <c:pt idx="5">
                  <c:v>1991.9466395507379</c:v>
                </c:pt>
                <c:pt idx="6">
                  <c:v>2017.441192910982</c:v>
                </c:pt>
                <c:pt idx="7">
                  <c:v>2042.9357462712258</c:v>
                </c:pt>
                <c:pt idx="8" formatCode="0.0">
                  <c:v>2068.4302996314696</c:v>
                </c:pt>
              </c:numCache>
            </c:numRef>
          </c:yVal>
        </c:ser>
        <c:ser>
          <c:idx val="2"/>
          <c:order val="2"/>
          <c:tx>
            <c:strRef>
              <c:f>STREAM!$A$98</c:f>
              <c:strCache>
                <c:ptCount val="1"/>
                <c:pt idx="0">
                  <c:v>train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STREAM!$B$98:$J$98</c:f>
              <c:numCache>
                <c:formatCode>#,##0.00</c:formatCode>
                <c:ptCount val="9"/>
                <c:pt idx="0" formatCode="0.0">
                  <c:v>322.15726646370774</c:v>
                </c:pt>
                <c:pt idx="1">
                  <c:v>483.23589969556161</c:v>
                </c:pt>
                <c:pt idx="2">
                  <c:v>644.31453292741548</c:v>
                </c:pt>
                <c:pt idx="3">
                  <c:v>679.6940094074339</c:v>
                </c:pt>
                <c:pt idx="4">
                  <c:v>715.07348588745242</c:v>
                </c:pt>
                <c:pt idx="5">
                  <c:v>732.27460434312911</c:v>
                </c:pt>
                <c:pt idx="6">
                  <c:v>749.4757227988058</c:v>
                </c:pt>
                <c:pt idx="7">
                  <c:v>766.6768412544825</c:v>
                </c:pt>
                <c:pt idx="8" formatCode="0.0">
                  <c:v>783.87795971015919</c:v>
                </c:pt>
              </c:numCache>
            </c:numRef>
          </c:yVal>
        </c:ser>
        <c:ser>
          <c:idx val="3"/>
          <c:order val="3"/>
          <c:tx>
            <c:strRef>
              <c:f>STREAM!$A$99</c:f>
              <c:strCache>
                <c:ptCount val="1"/>
                <c:pt idx="0">
                  <c:v>Trucks and cargo vans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STREAM!$B$99:$J$99</c:f>
              <c:numCache>
                <c:formatCode>#,##0.00</c:formatCode>
                <c:ptCount val="9"/>
                <c:pt idx="0" formatCode="0.0">
                  <c:v>5000</c:v>
                </c:pt>
                <c:pt idx="1">
                  <c:v>6095.5806435567301</c:v>
                </c:pt>
                <c:pt idx="2">
                  <c:v>7191.1612871134603</c:v>
                </c:pt>
                <c:pt idx="3">
                  <c:v>8058.4705239903897</c:v>
                </c:pt>
                <c:pt idx="4">
                  <c:v>8925.7797608673191</c:v>
                </c:pt>
                <c:pt idx="5">
                  <c:v>9067.5650231768468</c:v>
                </c:pt>
                <c:pt idx="6">
                  <c:v>9209.3502854863746</c:v>
                </c:pt>
                <c:pt idx="7">
                  <c:v>9351.1355477959023</c:v>
                </c:pt>
                <c:pt idx="8" formatCode="0.0">
                  <c:v>9492.9208101054301</c:v>
                </c:pt>
              </c:numCache>
            </c:numRef>
          </c:yVal>
        </c:ser>
        <c:ser>
          <c:idx val="4"/>
          <c:order val="4"/>
          <c:tx>
            <c:strRef>
              <c:f>STREAM!$A$100</c:f>
              <c:strCache>
                <c:ptCount val="1"/>
                <c:pt idx="0">
                  <c:v>Train*</c:v>
                </c:pt>
              </c:strCache>
            </c:strRef>
          </c:tx>
          <c:marker>
            <c:symbol val="none"/>
          </c:marker>
          <c:xVal>
            <c:numRef>
              <c:f>STREAM!$B$95:$J$95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STREAM!$B$100:$J$100</c:f>
              <c:numCache>
                <c:formatCode>#,##0.00</c:formatCode>
                <c:ptCount val="9"/>
                <c:pt idx="0" formatCode="0.0">
                  <c:v>6638</c:v>
                </c:pt>
                <c:pt idx="1">
                  <c:v>6637.997517129289</c:v>
                </c:pt>
                <c:pt idx="2">
                  <c:v>6637.995034258578</c:v>
                </c:pt>
                <c:pt idx="3">
                  <c:v>6685.7390058774881</c:v>
                </c:pt>
                <c:pt idx="4">
                  <c:v>6733.4829774963982</c:v>
                </c:pt>
                <c:pt idx="5">
                  <c:v>6840.443789414112</c:v>
                </c:pt>
                <c:pt idx="6">
                  <c:v>6947.4046013318257</c:v>
                </c:pt>
                <c:pt idx="7">
                  <c:v>7054.3654132495394</c:v>
                </c:pt>
                <c:pt idx="8" formatCode="0.0">
                  <c:v>7161.3262251672531</c:v>
                </c:pt>
              </c:numCache>
            </c:numRef>
          </c:yVal>
        </c:ser>
        <c:axId val="82381440"/>
        <c:axId val="82395520"/>
      </c:scatterChart>
      <c:valAx>
        <c:axId val="82381440"/>
        <c:scaling>
          <c:orientation val="minMax"/>
        </c:scaling>
        <c:axPos val="b"/>
        <c:numFmt formatCode="General" sourceLinked="1"/>
        <c:tickLblPos val="nextTo"/>
        <c:crossAx val="82395520"/>
        <c:crosses val="autoZero"/>
        <c:crossBetween val="midCat"/>
      </c:valAx>
      <c:valAx>
        <c:axId val="82395520"/>
        <c:scaling>
          <c:orientation val="minMax"/>
        </c:scaling>
        <c:axPos val="l"/>
        <c:majorGridlines/>
        <c:numFmt formatCode="0.0" sourceLinked="1"/>
        <c:tickLblPos val="nextTo"/>
        <c:crossAx val="823814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STREAM!$A$131</c:f>
              <c:strCache>
                <c:ptCount val="1"/>
                <c:pt idx="0">
                  <c:v>car </c:v>
                </c:pt>
              </c:strCache>
            </c:strRef>
          </c:tx>
          <c:marker>
            <c:symbol val="none"/>
          </c:marker>
          <c:xVal>
            <c:numRef>
              <c:f>STREAM!$B$130:$J$130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STREAM!$B$131:$J$131</c:f>
              <c:numCache>
                <c:formatCode>#,##0.00</c:formatCode>
                <c:ptCount val="9"/>
                <c:pt idx="0" formatCode="0.0">
                  <c:v>6104.4</c:v>
                </c:pt>
                <c:pt idx="1">
                  <c:v>6458.4719281604812</c:v>
                </c:pt>
                <c:pt idx="2" formatCode="0.0">
                  <c:v>6812.5438563209636</c:v>
                </c:pt>
                <c:pt idx="3">
                  <c:v>6643.9093376295932</c:v>
                </c:pt>
                <c:pt idx="4" formatCode="0.0">
                  <c:v>6475.2748189382228</c:v>
                </c:pt>
                <c:pt idx="5">
                  <c:v>6468.9125956075823</c:v>
                </c:pt>
                <c:pt idx="6">
                  <c:v>6462.5503722769417</c:v>
                </c:pt>
                <c:pt idx="7">
                  <c:v>6456.1881489463012</c:v>
                </c:pt>
                <c:pt idx="8" formatCode="0.0">
                  <c:v>6449.8259256156607</c:v>
                </c:pt>
              </c:numCache>
            </c:numRef>
          </c:yVal>
        </c:ser>
        <c:ser>
          <c:idx val="1"/>
          <c:order val="1"/>
          <c:tx>
            <c:strRef>
              <c:f>STREAM!$A$132</c:f>
              <c:strCache>
                <c:ptCount val="1"/>
                <c:pt idx="0">
                  <c:v>bus</c:v>
                </c:pt>
              </c:strCache>
            </c:strRef>
          </c:tx>
          <c:marker>
            <c:symbol val="none"/>
          </c:marker>
          <c:xVal>
            <c:numRef>
              <c:f>STREAM!$B$130:$J$130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STREAM!$B$132:$J$132</c:f>
              <c:numCache>
                <c:formatCode>#,##0.00</c:formatCode>
                <c:ptCount val="9"/>
                <c:pt idx="0" formatCode="0.0">
                  <c:v>2068.4302996314696</c:v>
                </c:pt>
                <c:pt idx="1">
                  <c:v>1966.4579933122877</c:v>
                </c:pt>
                <c:pt idx="2">
                  <c:v>1864.4856869931059</c:v>
                </c:pt>
                <c:pt idx="3">
                  <c:v>1767.9849801275129</c:v>
                </c:pt>
                <c:pt idx="4">
                  <c:v>1671.48427326192</c:v>
                </c:pt>
                <c:pt idx="5">
                  <c:v>1628.4003871105933</c:v>
                </c:pt>
                <c:pt idx="6">
                  <c:v>1585.3165009592665</c:v>
                </c:pt>
                <c:pt idx="7">
                  <c:v>1542.2326148079396</c:v>
                </c:pt>
                <c:pt idx="8" formatCode="0.0">
                  <c:v>1499.148728656613</c:v>
                </c:pt>
              </c:numCache>
            </c:numRef>
          </c:yVal>
        </c:ser>
        <c:ser>
          <c:idx val="2"/>
          <c:order val="2"/>
          <c:tx>
            <c:strRef>
              <c:f>STREAM!$A$133</c:f>
              <c:strCache>
                <c:ptCount val="1"/>
                <c:pt idx="0">
                  <c:v>train</c:v>
                </c:pt>
              </c:strCache>
            </c:strRef>
          </c:tx>
          <c:marker>
            <c:symbol val="none"/>
          </c:marker>
          <c:xVal>
            <c:numRef>
              <c:f>STREAM!$B$130:$J$130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STREAM!$B$133:$J$133</c:f>
              <c:numCache>
                <c:formatCode>#,##0.00</c:formatCode>
                <c:ptCount val="9"/>
                <c:pt idx="0" formatCode="0.0">
                  <c:v>322.15726646370774</c:v>
                </c:pt>
                <c:pt idx="1">
                  <c:v>591.34456099949375</c:v>
                </c:pt>
                <c:pt idx="2">
                  <c:v>860.53185553527965</c:v>
                </c:pt>
                <c:pt idx="3">
                  <c:v>1341.9846222741417</c:v>
                </c:pt>
                <c:pt idx="4">
                  <c:v>1823.4373890130034</c:v>
                </c:pt>
                <c:pt idx="5">
                  <c:v>1817.3226603567364</c:v>
                </c:pt>
                <c:pt idx="6">
                  <c:v>1811.2079317004695</c:v>
                </c:pt>
                <c:pt idx="7">
                  <c:v>1805.0932030442025</c:v>
                </c:pt>
                <c:pt idx="8" formatCode="0.0">
                  <c:v>1798.9784743879354</c:v>
                </c:pt>
              </c:numCache>
            </c:numRef>
          </c:yVal>
        </c:ser>
        <c:ser>
          <c:idx val="3"/>
          <c:order val="3"/>
          <c:tx>
            <c:strRef>
              <c:f>STREAM!$A$134</c:f>
              <c:strCache>
                <c:ptCount val="1"/>
                <c:pt idx="0">
                  <c:v>Trucks and cargo vans</c:v>
                </c:pt>
              </c:strCache>
            </c:strRef>
          </c:tx>
          <c:marker>
            <c:symbol val="none"/>
          </c:marker>
          <c:xVal>
            <c:numRef>
              <c:f>STREAM!$B$130:$J$130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STREAM!$B$134:$J$134</c:f>
              <c:numCache>
                <c:formatCode>#,##0.00</c:formatCode>
                <c:ptCount val="9"/>
                <c:pt idx="0" formatCode="0.0">
                  <c:v>5000</c:v>
                </c:pt>
                <c:pt idx="1">
                  <c:v>5422.8080939794763</c:v>
                </c:pt>
                <c:pt idx="2">
                  <c:v>5845.6161879589527</c:v>
                </c:pt>
                <c:pt idx="3">
                  <c:v>5705.5531318725334</c:v>
                </c:pt>
                <c:pt idx="4">
                  <c:v>5565.4900757861133</c:v>
                </c:pt>
                <c:pt idx="5">
                  <c:v>5505.8267329482142</c:v>
                </c:pt>
                <c:pt idx="6">
                  <c:v>5446.163390110315</c:v>
                </c:pt>
                <c:pt idx="7">
                  <c:v>5386.5000472724159</c:v>
                </c:pt>
                <c:pt idx="8" formatCode="0.0">
                  <c:v>5326.8367044345168</c:v>
                </c:pt>
              </c:numCache>
            </c:numRef>
          </c:yVal>
        </c:ser>
        <c:ser>
          <c:idx val="4"/>
          <c:order val="4"/>
          <c:tx>
            <c:strRef>
              <c:f>STREAM!$A$135</c:f>
              <c:strCache>
                <c:ptCount val="1"/>
                <c:pt idx="0">
                  <c:v>Train*</c:v>
                </c:pt>
              </c:strCache>
            </c:strRef>
          </c:tx>
          <c:marker>
            <c:symbol val="none"/>
          </c:marker>
          <c:xVal>
            <c:numRef>
              <c:f>STREAM!$B$130:$J$130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STREAM!$B$135:$J$135</c:f>
              <c:numCache>
                <c:formatCode>#,##0.00</c:formatCode>
                <c:ptCount val="9"/>
                <c:pt idx="0" formatCode="0.0">
                  <c:v>6638</c:v>
                </c:pt>
                <c:pt idx="1">
                  <c:v>7193.4200315541884</c:v>
                </c:pt>
                <c:pt idx="2">
                  <c:v>7748.8400631083769</c:v>
                </c:pt>
                <c:pt idx="3">
                  <c:v>8048.5375883937731</c:v>
                </c:pt>
                <c:pt idx="4">
                  <c:v>8348.2351136791694</c:v>
                </c:pt>
                <c:pt idx="5">
                  <c:v>8258.7400994223208</c:v>
                </c:pt>
                <c:pt idx="6">
                  <c:v>8169.2450851654721</c:v>
                </c:pt>
                <c:pt idx="7">
                  <c:v>8079.7500709086235</c:v>
                </c:pt>
                <c:pt idx="8" formatCode="0.0">
                  <c:v>7990.2550566517739</c:v>
                </c:pt>
              </c:numCache>
            </c:numRef>
          </c:yVal>
        </c:ser>
        <c:axId val="82436864"/>
        <c:axId val="82438400"/>
      </c:scatterChart>
      <c:valAx>
        <c:axId val="82436864"/>
        <c:scaling>
          <c:orientation val="minMax"/>
        </c:scaling>
        <c:axPos val="b"/>
        <c:numFmt formatCode="General" sourceLinked="1"/>
        <c:tickLblPos val="nextTo"/>
        <c:crossAx val="82438400"/>
        <c:crosses val="autoZero"/>
        <c:crossBetween val="midCat"/>
      </c:valAx>
      <c:valAx>
        <c:axId val="82438400"/>
        <c:scaling>
          <c:orientation val="minMax"/>
        </c:scaling>
        <c:axPos val="l"/>
        <c:majorGridlines/>
        <c:numFmt formatCode="0.0" sourceLinked="1"/>
        <c:tickLblPos val="nextTo"/>
        <c:crossAx val="824368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STREAM!$A$152</c:f>
              <c:strCache>
                <c:ptCount val="1"/>
                <c:pt idx="0">
                  <c:v>ÜT BAU</c:v>
                </c:pt>
              </c:strCache>
            </c:strRef>
          </c:tx>
          <c:xVal>
            <c:numRef>
              <c:f>STREAM!$B$151:$F$151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xVal>
          <c:yVal>
            <c:numRef>
              <c:f>STREAM!$B$152:$F$152</c:f>
              <c:numCache>
                <c:formatCode>0%</c:formatCode>
                <c:ptCount val="5"/>
                <c:pt idx="0">
                  <c:v>0.28141154386574807</c:v>
                </c:pt>
                <c:pt idx="1">
                  <c:v>0.26616750422759317</c:v>
                </c:pt>
                <c:pt idx="2">
                  <c:v>0.2540404119998611</c:v>
                </c:pt>
                <c:pt idx="3">
                  <c:v>0.23968726548569075</c:v>
                </c:pt>
                <c:pt idx="4">
                  <c:v>0.22672811059907833</c:v>
                </c:pt>
              </c:numCache>
            </c:numRef>
          </c:yVal>
        </c:ser>
        <c:ser>
          <c:idx val="1"/>
          <c:order val="1"/>
          <c:tx>
            <c:strRef>
              <c:f>STREAM!$A$153</c:f>
              <c:strCache>
                <c:ptCount val="1"/>
                <c:pt idx="0">
                  <c:v>ÜT VS</c:v>
                </c:pt>
              </c:strCache>
            </c:strRef>
          </c:tx>
          <c:xVal>
            <c:numRef>
              <c:f>STREAM!$B$151:$F$151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xVal>
          <c:yVal>
            <c:numRef>
              <c:f>STREAM!$B$153:$F$153</c:f>
              <c:numCache>
                <c:formatCode>0%</c:formatCode>
                <c:ptCount val="5"/>
                <c:pt idx="0">
                  <c:v>0.28141154386574807</c:v>
                </c:pt>
                <c:pt idx="1">
                  <c:v>0.27759430685176989</c:v>
                </c:pt>
                <c:pt idx="2">
                  <c:v>0.27429759174311924</c:v>
                </c:pt>
                <c:pt idx="3">
                  <c:v>0.25951513641118962</c:v>
                </c:pt>
                <c:pt idx="4">
                  <c:v>0.24633358907640363</c:v>
                </c:pt>
              </c:numCache>
            </c:numRef>
          </c:yVal>
        </c:ser>
        <c:ser>
          <c:idx val="2"/>
          <c:order val="2"/>
          <c:tx>
            <c:strRef>
              <c:f>STREAM!$A$154</c:f>
              <c:strCache>
                <c:ptCount val="1"/>
                <c:pt idx="0">
                  <c:v>ÜT EE</c:v>
                </c:pt>
              </c:strCache>
            </c:strRef>
          </c:tx>
          <c:xVal>
            <c:numRef>
              <c:f>STREAM!$B$151:$F$151</c:f>
              <c:numCache>
                <c:formatCode>General</c:formatCode>
                <c:ptCount val="5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</c:numCache>
            </c:numRef>
          </c:xVal>
          <c:yVal>
            <c:numRef>
              <c:f>STREAM!$B$154:$F$154</c:f>
              <c:numCache>
                <c:formatCode>0%</c:formatCode>
                <c:ptCount val="5"/>
                <c:pt idx="0">
                  <c:v>0.28141154386574807</c:v>
                </c:pt>
                <c:pt idx="1">
                  <c:v>0.28368729892642219</c:v>
                </c:pt>
                <c:pt idx="2">
                  <c:v>0.2857142857142857</c:v>
                </c:pt>
                <c:pt idx="3">
                  <c:v>0.31884439221794275</c:v>
                </c:pt>
                <c:pt idx="4">
                  <c:v>0.35053688950467615</c:v>
                </c:pt>
              </c:numCache>
            </c:numRef>
          </c:yVal>
        </c:ser>
        <c:axId val="82489728"/>
        <c:axId val="82491264"/>
      </c:scatterChart>
      <c:valAx>
        <c:axId val="82489728"/>
        <c:scaling>
          <c:orientation val="minMax"/>
        </c:scaling>
        <c:axPos val="b"/>
        <c:numFmt formatCode="General" sourceLinked="1"/>
        <c:tickLblPos val="nextTo"/>
        <c:crossAx val="82491264"/>
        <c:crosses val="autoZero"/>
        <c:crossBetween val="midCat"/>
      </c:valAx>
      <c:valAx>
        <c:axId val="82491264"/>
        <c:scaling>
          <c:orientation val="minMax"/>
        </c:scaling>
        <c:axPos val="l"/>
        <c:majorGridlines/>
        <c:numFmt formatCode="0%" sourceLinked="1"/>
        <c:tickLblPos val="nextTo"/>
        <c:crossAx val="824897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289" r="0.75000000000000289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Autod!$A$31</c:f>
              <c:strCache>
                <c:ptCount val="1"/>
                <c:pt idx="0">
                  <c:v>Uute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Autod!$B$30:$J$30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Autod!$B$31:$J$31</c:f>
              <c:numCache>
                <c:formatCode>0</c:formatCode>
                <c:ptCount val="9"/>
                <c:pt idx="0">
                  <c:v>57692307.692307703</c:v>
                </c:pt>
                <c:pt idx="1">
                  <c:v>135692307.69230771</c:v>
                </c:pt>
                <c:pt idx="2">
                  <c:v>146076923.0769231</c:v>
                </c:pt>
                <c:pt idx="3">
                  <c:v>163384615.38461539</c:v>
                </c:pt>
                <c:pt idx="4">
                  <c:v>173769230.76923078</c:v>
                </c:pt>
                <c:pt idx="5">
                  <c:v>187615384.61538464</c:v>
                </c:pt>
                <c:pt idx="6">
                  <c:v>193846153.84615386</c:v>
                </c:pt>
                <c:pt idx="7">
                  <c:v>193846153.84615386</c:v>
                </c:pt>
                <c:pt idx="8">
                  <c:v>193846153.84615386</c:v>
                </c:pt>
              </c:numCache>
            </c:numRef>
          </c:yVal>
        </c:ser>
        <c:ser>
          <c:idx val="1"/>
          <c:order val="1"/>
          <c:tx>
            <c:strRef>
              <c:f>Autod!$A$32</c:f>
              <c:strCache>
                <c:ptCount val="1"/>
                <c:pt idx="0">
                  <c:v>Uute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Autod!$B$30:$J$30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Autod!$B$32:$J$32</c:f>
              <c:numCache>
                <c:formatCode>0</c:formatCode>
                <c:ptCount val="9"/>
                <c:pt idx="0">
                  <c:v>115384615.38461541</c:v>
                </c:pt>
                <c:pt idx="1">
                  <c:v>271384615.38461542</c:v>
                </c:pt>
                <c:pt idx="2">
                  <c:v>292153846.15384614</c:v>
                </c:pt>
                <c:pt idx="3">
                  <c:v>326769230.76923078</c:v>
                </c:pt>
                <c:pt idx="4">
                  <c:v>347538461.53846157</c:v>
                </c:pt>
                <c:pt idx="5">
                  <c:v>375230769.23076928</c:v>
                </c:pt>
                <c:pt idx="6">
                  <c:v>387692307.69230771</c:v>
                </c:pt>
                <c:pt idx="7">
                  <c:v>387692307.69230771</c:v>
                </c:pt>
                <c:pt idx="8">
                  <c:v>387692307.69230771</c:v>
                </c:pt>
              </c:numCache>
            </c:numRef>
          </c:yVal>
        </c:ser>
        <c:ser>
          <c:idx val="2"/>
          <c:order val="2"/>
          <c:tx>
            <c:strRef>
              <c:f>Autod!$A$33</c:f>
              <c:strCache>
                <c:ptCount val="1"/>
                <c:pt idx="0">
                  <c:v>Kasutatud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Autod!$B$30:$J$30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Autod!$B$33:$J$33</c:f>
              <c:numCache>
                <c:formatCode>0</c:formatCode>
                <c:ptCount val="9"/>
                <c:pt idx="0">
                  <c:v>106875000</c:v>
                </c:pt>
                <c:pt idx="1">
                  <c:v>175500000</c:v>
                </c:pt>
                <c:pt idx="2">
                  <c:v>141750000</c:v>
                </c:pt>
                <c:pt idx="3">
                  <c:v>124875000</c:v>
                </c:pt>
                <c:pt idx="4">
                  <c:v>108000000</c:v>
                </c:pt>
                <c:pt idx="5">
                  <c:v>91125000</c:v>
                </c:pt>
                <c:pt idx="6">
                  <c:v>74250000</c:v>
                </c:pt>
                <c:pt idx="7">
                  <c:v>67500000</c:v>
                </c:pt>
                <c:pt idx="8">
                  <c:v>67500000</c:v>
                </c:pt>
              </c:numCache>
            </c:numRef>
          </c:yVal>
        </c:ser>
        <c:ser>
          <c:idx val="3"/>
          <c:order val="3"/>
          <c:tx>
            <c:strRef>
              <c:f>Autod!$A$34</c:f>
              <c:strCache>
                <c:ptCount val="1"/>
                <c:pt idx="0">
                  <c:v>Kasutatud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Autod!$B$30:$J$30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Autod!$B$34:$J$34</c:f>
              <c:numCache>
                <c:formatCode>0</c:formatCode>
                <c:ptCount val="9"/>
                <c:pt idx="0">
                  <c:v>44531250</c:v>
                </c:pt>
                <c:pt idx="1">
                  <c:v>73125000</c:v>
                </c:pt>
                <c:pt idx="2">
                  <c:v>59062500</c:v>
                </c:pt>
                <c:pt idx="3">
                  <c:v>52031250</c:v>
                </c:pt>
                <c:pt idx="4">
                  <c:v>45000000</c:v>
                </c:pt>
                <c:pt idx="5">
                  <c:v>37968750</c:v>
                </c:pt>
                <c:pt idx="6">
                  <c:v>30937500</c:v>
                </c:pt>
                <c:pt idx="7">
                  <c:v>28125000</c:v>
                </c:pt>
                <c:pt idx="8">
                  <c:v>28125000</c:v>
                </c:pt>
              </c:numCache>
            </c:numRef>
          </c:yVal>
        </c:ser>
        <c:axId val="94246400"/>
        <c:axId val="94247936"/>
      </c:scatterChart>
      <c:valAx>
        <c:axId val="94246400"/>
        <c:scaling>
          <c:orientation val="minMax"/>
        </c:scaling>
        <c:axPos val="b"/>
        <c:numFmt formatCode="General" sourceLinked="1"/>
        <c:tickLblPos val="nextTo"/>
        <c:crossAx val="94247936"/>
        <c:crosses val="autoZero"/>
        <c:crossBetween val="midCat"/>
      </c:valAx>
      <c:valAx>
        <c:axId val="94247936"/>
        <c:scaling>
          <c:orientation val="minMax"/>
        </c:scaling>
        <c:axPos val="l"/>
        <c:majorGridlines/>
        <c:numFmt formatCode="0" sourceLinked="1"/>
        <c:tickLblPos val="nextTo"/>
        <c:crossAx val="9424640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Autod!$A$36</c:f>
              <c:strCache>
                <c:ptCount val="1"/>
                <c:pt idx="0">
                  <c:v>Uute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Autod!$B$36:$J$36</c:f>
              <c:numCache>
                <c:formatCode>0</c:formatCode>
                <c:ptCount val="9"/>
                <c:pt idx="0">
                  <c:v>57692307.692307703</c:v>
                </c:pt>
                <c:pt idx="1">
                  <c:v>134307692.30769232</c:v>
                </c:pt>
                <c:pt idx="2">
                  <c:v>144692307.69230771</c:v>
                </c:pt>
                <c:pt idx="3">
                  <c:v>162000000</c:v>
                </c:pt>
                <c:pt idx="4">
                  <c:v>172384615.38461539</c:v>
                </c:pt>
                <c:pt idx="5">
                  <c:v>186230769.23076925</c:v>
                </c:pt>
                <c:pt idx="6">
                  <c:v>192461538.46153849</c:v>
                </c:pt>
                <c:pt idx="7">
                  <c:v>192461538.46153849</c:v>
                </c:pt>
                <c:pt idx="8">
                  <c:v>192461538.46153849</c:v>
                </c:pt>
              </c:numCache>
            </c:numRef>
          </c:yVal>
        </c:ser>
        <c:ser>
          <c:idx val="1"/>
          <c:order val="1"/>
          <c:tx>
            <c:strRef>
              <c:f>Autod!$A$37</c:f>
              <c:strCache>
                <c:ptCount val="1"/>
                <c:pt idx="0">
                  <c:v>Uute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Autod!$B$37:$J$37</c:f>
              <c:numCache>
                <c:formatCode>0</c:formatCode>
                <c:ptCount val="9"/>
                <c:pt idx="0">
                  <c:v>115384615.38461541</c:v>
                </c:pt>
                <c:pt idx="1">
                  <c:v>268615384.61538464</c:v>
                </c:pt>
                <c:pt idx="2">
                  <c:v>289384615.38461542</c:v>
                </c:pt>
                <c:pt idx="3">
                  <c:v>324000000</c:v>
                </c:pt>
                <c:pt idx="4">
                  <c:v>344769230.76923078</c:v>
                </c:pt>
                <c:pt idx="5">
                  <c:v>372461538.46153849</c:v>
                </c:pt>
                <c:pt idx="6">
                  <c:v>384923076.92307693</c:v>
                </c:pt>
                <c:pt idx="7">
                  <c:v>384923076.92307693</c:v>
                </c:pt>
                <c:pt idx="8">
                  <c:v>384923076.92307693</c:v>
                </c:pt>
              </c:numCache>
            </c:numRef>
          </c:yVal>
        </c:ser>
        <c:ser>
          <c:idx val="2"/>
          <c:order val="2"/>
          <c:tx>
            <c:strRef>
              <c:f>Autod!$A$38</c:f>
              <c:strCache>
                <c:ptCount val="1"/>
                <c:pt idx="0">
                  <c:v>Kasutatud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Autod!$B$38:$J$38</c:f>
              <c:numCache>
                <c:formatCode>0</c:formatCode>
                <c:ptCount val="9"/>
                <c:pt idx="0">
                  <c:v>106875000</c:v>
                </c:pt>
                <c:pt idx="1">
                  <c:v>174825000</c:v>
                </c:pt>
                <c:pt idx="2">
                  <c:v>141075000</c:v>
                </c:pt>
                <c:pt idx="3">
                  <c:v>124200000</c:v>
                </c:pt>
                <c:pt idx="4">
                  <c:v>107325000</c:v>
                </c:pt>
                <c:pt idx="5">
                  <c:v>90450000</c:v>
                </c:pt>
                <c:pt idx="6">
                  <c:v>73575000</c:v>
                </c:pt>
                <c:pt idx="7">
                  <c:v>66825000</c:v>
                </c:pt>
                <c:pt idx="8">
                  <c:v>66825000</c:v>
                </c:pt>
              </c:numCache>
            </c:numRef>
          </c:yVal>
        </c:ser>
        <c:ser>
          <c:idx val="3"/>
          <c:order val="3"/>
          <c:tx>
            <c:strRef>
              <c:f>Autod!$A$39</c:f>
              <c:strCache>
                <c:ptCount val="1"/>
                <c:pt idx="0">
                  <c:v>Kasutatud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Autod!$B$39:$J$39</c:f>
              <c:numCache>
                <c:formatCode>0</c:formatCode>
                <c:ptCount val="9"/>
                <c:pt idx="0">
                  <c:v>44531250</c:v>
                </c:pt>
                <c:pt idx="1">
                  <c:v>72843750</c:v>
                </c:pt>
                <c:pt idx="2">
                  <c:v>58781250</c:v>
                </c:pt>
                <c:pt idx="3">
                  <c:v>51750000</c:v>
                </c:pt>
                <c:pt idx="4">
                  <c:v>44718750</c:v>
                </c:pt>
                <c:pt idx="5">
                  <c:v>37687500</c:v>
                </c:pt>
                <c:pt idx="6">
                  <c:v>30656250</c:v>
                </c:pt>
                <c:pt idx="7">
                  <c:v>27843750</c:v>
                </c:pt>
                <c:pt idx="8">
                  <c:v>27843750</c:v>
                </c:pt>
              </c:numCache>
            </c:numRef>
          </c:yVal>
        </c:ser>
        <c:axId val="94284032"/>
        <c:axId val="129052672"/>
      </c:scatterChart>
      <c:valAx>
        <c:axId val="94284032"/>
        <c:scaling>
          <c:orientation val="minMax"/>
        </c:scaling>
        <c:axPos val="b"/>
        <c:numFmt formatCode="General" sourceLinked="1"/>
        <c:tickLblPos val="nextTo"/>
        <c:crossAx val="129052672"/>
        <c:crosses val="autoZero"/>
        <c:crossBetween val="midCat"/>
      </c:valAx>
      <c:valAx>
        <c:axId val="129052672"/>
        <c:scaling>
          <c:orientation val="minMax"/>
        </c:scaling>
        <c:axPos val="l"/>
        <c:majorGridlines/>
        <c:numFmt formatCode="0" sourceLinked="1"/>
        <c:tickLblPos val="nextTo"/>
        <c:crossAx val="942840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Autod!$A$41</c:f>
              <c:strCache>
                <c:ptCount val="1"/>
                <c:pt idx="0">
                  <c:v>Uute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Autod!$B$41:$J$41</c:f>
              <c:numCache>
                <c:formatCode>0</c:formatCode>
                <c:ptCount val="9"/>
                <c:pt idx="0">
                  <c:v>57692307.692307703</c:v>
                </c:pt>
                <c:pt idx="1">
                  <c:v>134307692.30769232</c:v>
                </c:pt>
                <c:pt idx="2">
                  <c:v>159230769.23076925</c:v>
                </c:pt>
                <c:pt idx="3">
                  <c:v>173076923.07692307</c:v>
                </c:pt>
                <c:pt idx="4">
                  <c:v>173076923.07692307</c:v>
                </c:pt>
                <c:pt idx="5">
                  <c:v>173076923.07692307</c:v>
                </c:pt>
                <c:pt idx="6">
                  <c:v>173076923.07692307</c:v>
                </c:pt>
                <c:pt idx="7">
                  <c:v>173076923.07692307</c:v>
                </c:pt>
                <c:pt idx="8">
                  <c:v>173076923.07692307</c:v>
                </c:pt>
              </c:numCache>
            </c:numRef>
          </c:yVal>
        </c:ser>
        <c:ser>
          <c:idx val="1"/>
          <c:order val="1"/>
          <c:tx>
            <c:strRef>
              <c:f>Autod!$A$42</c:f>
              <c:strCache>
                <c:ptCount val="1"/>
                <c:pt idx="0">
                  <c:v>Uute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Autod!$B$42:$J$42</c:f>
              <c:numCache>
                <c:formatCode>0</c:formatCode>
                <c:ptCount val="9"/>
                <c:pt idx="0">
                  <c:v>115384615.38461541</c:v>
                </c:pt>
                <c:pt idx="1">
                  <c:v>268615384.61538464</c:v>
                </c:pt>
                <c:pt idx="2">
                  <c:v>318461538.46153849</c:v>
                </c:pt>
                <c:pt idx="3">
                  <c:v>346153846.15384614</c:v>
                </c:pt>
                <c:pt idx="4">
                  <c:v>346153846.15384614</c:v>
                </c:pt>
                <c:pt idx="5">
                  <c:v>346153846.15384614</c:v>
                </c:pt>
                <c:pt idx="6">
                  <c:v>346153846.15384614</c:v>
                </c:pt>
                <c:pt idx="7">
                  <c:v>346153846.15384614</c:v>
                </c:pt>
                <c:pt idx="8">
                  <c:v>346153846.15384614</c:v>
                </c:pt>
              </c:numCache>
            </c:numRef>
          </c:yVal>
        </c:ser>
        <c:ser>
          <c:idx val="2"/>
          <c:order val="2"/>
          <c:tx>
            <c:strRef>
              <c:f>Autod!$A$43</c:f>
              <c:strCache>
                <c:ptCount val="1"/>
                <c:pt idx="0">
                  <c:v>Kasutatud sõidukite import omaturu tarbeks (eraisikud)</c:v>
                </c:pt>
              </c:strCache>
            </c:strRef>
          </c:tx>
          <c:marker>
            <c:symbol val="none"/>
          </c:marker>
          <c:xVal>
            <c:numRef>
              <c:f>Autod!$B$40:$J$40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Autod!$B$43:$J$43</c:f>
              <c:numCache>
                <c:formatCode>0</c:formatCode>
                <c:ptCount val="9"/>
                <c:pt idx="0">
                  <c:v>106875000</c:v>
                </c:pt>
                <c:pt idx="1">
                  <c:v>174825000</c:v>
                </c:pt>
                <c:pt idx="2">
                  <c:v>114750000</c:v>
                </c:pt>
                <c:pt idx="3">
                  <c:v>81000000</c:v>
                </c:pt>
                <c:pt idx="4">
                  <c:v>47250000</c:v>
                </c:pt>
                <c:pt idx="5">
                  <c:v>33750000</c:v>
                </c:pt>
                <c:pt idx="6">
                  <c:v>33750000</c:v>
                </c:pt>
                <c:pt idx="7">
                  <c:v>33750000</c:v>
                </c:pt>
                <c:pt idx="8">
                  <c:v>33750000</c:v>
                </c:pt>
              </c:numCache>
            </c:numRef>
          </c:yVal>
        </c:ser>
        <c:ser>
          <c:idx val="3"/>
          <c:order val="3"/>
          <c:tx>
            <c:strRef>
              <c:f>Autod!$A$44</c:f>
              <c:strCache>
                <c:ptCount val="1"/>
                <c:pt idx="0">
                  <c:v>Kasutatud sõidukite import omaturu tarbeks (ettevõtted)</c:v>
                </c:pt>
              </c:strCache>
            </c:strRef>
          </c:tx>
          <c:marker>
            <c:symbol val="none"/>
          </c:marker>
          <c:xVal>
            <c:numRef>
              <c:f>Autod!$B$40:$J$40</c:f>
              <c:numCache>
                <c:formatCode>General</c:formatCod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numCache>
            </c:numRef>
          </c:xVal>
          <c:yVal>
            <c:numRef>
              <c:f>Autod!$B$44:$J$44</c:f>
              <c:numCache>
                <c:formatCode>0</c:formatCode>
                <c:ptCount val="9"/>
                <c:pt idx="0">
                  <c:v>44531250</c:v>
                </c:pt>
                <c:pt idx="1">
                  <c:v>72843750</c:v>
                </c:pt>
                <c:pt idx="2">
                  <c:v>47812500</c:v>
                </c:pt>
                <c:pt idx="3">
                  <c:v>33750000</c:v>
                </c:pt>
                <c:pt idx="4">
                  <c:v>19687500</c:v>
                </c:pt>
                <c:pt idx="5">
                  <c:v>14062500</c:v>
                </c:pt>
                <c:pt idx="6">
                  <c:v>14062500</c:v>
                </c:pt>
                <c:pt idx="7">
                  <c:v>14062500</c:v>
                </c:pt>
                <c:pt idx="8">
                  <c:v>14062500</c:v>
                </c:pt>
              </c:numCache>
            </c:numRef>
          </c:yVal>
        </c:ser>
        <c:axId val="129072128"/>
        <c:axId val="129078016"/>
      </c:scatterChart>
      <c:valAx>
        <c:axId val="129072128"/>
        <c:scaling>
          <c:orientation val="minMax"/>
        </c:scaling>
        <c:axPos val="b"/>
        <c:numFmt formatCode="General" sourceLinked="1"/>
        <c:tickLblPos val="nextTo"/>
        <c:crossAx val="129078016"/>
        <c:crosses val="autoZero"/>
        <c:crossBetween val="midCat"/>
      </c:valAx>
      <c:valAx>
        <c:axId val="129078016"/>
        <c:scaling>
          <c:orientation val="minMax"/>
        </c:scaling>
        <c:axPos val="l"/>
        <c:majorGridlines/>
        <c:numFmt formatCode="0" sourceLinked="1"/>
        <c:tickLblPos val="nextTo"/>
        <c:crossAx val="1290721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588" r="0.750000000000005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2"/>
          <c:order val="0"/>
          <c:tx>
            <c:strRef>
              <c:f>VS_TAK!$B$64</c:f>
              <c:strCache>
                <c:ptCount val="1"/>
                <c:pt idx="0">
                  <c:v>Transpordi infra + stsen lisategevused</c:v>
                </c:pt>
              </c:strCache>
            </c:strRef>
          </c:tx>
          <c:marker>
            <c:symbol val="none"/>
          </c:marker>
          <c:xVal>
            <c:numRef>
              <c:f>VS_TAK!$D$4:$U$4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VS_TAK!$D$64:$U$64</c:f>
              <c:numCache>
                <c:formatCode>#,##0</c:formatCode>
                <c:ptCount val="18"/>
                <c:pt idx="1">
                  <c:v>430207.61574308045</c:v>
                </c:pt>
                <c:pt idx="2" formatCode="0.0">
                  <c:v>434828.24237477448</c:v>
                </c:pt>
                <c:pt idx="3" formatCode="0.0">
                  <c:v>439448.86900646851</c:v>
                </c:pt>
                <c:pt idx="4" formatCode="0.0">
                  <c:v>444069.49563816248</c:v>
                </c:pt>
                <c:pt idx="5" formatCode="0.0">
                  <c:v>448690.12226985651</c:v>
                </c:pt>
                <c:pt idx="6">
                  <c:v>453310.74890155054</c:v>
                </c:pt>
                <c:pt idx="7">
                  <c:v>467458.6250963473</c:v>
                </c:pt>
                <c:pt idx="8">
                  <c:v>481606.50129114406</c:v>
                </c:pt>
                <c:pt idx="9">
                  <c:v>495754.37748594081</c:v>
                </c:pt>
                <c:pt idx="10">
                  <c:v>509902.25368073763</c:v>
                </c:pt>
                <c:pt idx="11">
                  <c:v>524050.12987553439</c:v>
                </c:pt>
                <c:pt idx="12">
                  <c:v>530291.51098491461</c:v>
                </c:pt>
                <c:pt idx="13">
                  <c:v>536532.89209429477</c:v>
                </c:pt>
                <c:pt idx="14">
                  <c:v>542774.27320367494</c:v>
                </c:pt>
                <c:pt idx="15">
                  <c:v>549015.65431305522</c:v>
                </c:pt>
                <c:pt idx="16">
                  <c:v>555257.03542243538</c:v>
                </c:pt>
                <c:pt idx="17">
                  <c:v>559632.57461207872</c:v>
                </c:pt>
              </c:numCache>
            </c:numRef>
          </c:yVal>
        </c:ser>
        <c:ser>
          <c:idx val="3"/>
          <c:order val="1"/>
          <c:tx>
            <c:strRef>
              <c:f>VS_TAK!$B$65</c:f>
              <c:strCache>
                <c:ptCount val="1"/>
                <c:pt idx="0">
                  <c:v>Aktsiis ja transpordimaksud kokku</c:v>
                </c:pt>
              </c:strCache>
            </c:strRef>
          </c:tx>
          <c:marker>
            <c:symbol val="none"/>
          </c:marker>
          <c:xVal>
            <c:numRef>
              <c:f>VS_TAK!$D$4:$U$4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VS_TAK!$D$65:$U$65</c:f>
              <c:numCache>
                <c:formatCode>#,##0</c:formatCode>
                <c:ptCount val="18"/>
                <c:pt idx="0">
                  <c:v>328754.11424651969</c:v>
                </c:pt>
                <c:pt idx="1">
                  <c:v>409018.18092902761</c:v>
                </c:pt>
                <c:pt idx="2">
                  <c:v>425070.99426552921</c:v>
                </c:pt>
                <c:pt idx="3">
                  <c:v>441123.80760203081</c:v>
                </c:pt>
                <c:pt idx="4">
                  <c:v>457176.6209385324</c:v>
                </c:pt>
                <c:pt idx="5">
                  <c:v>473229.434275034</c:v>
                </c:pt>
                <c:pt idx="6">
                  <c:v>489282.2476115356</c:v>
                </c:pt>
                <c:pt idx="7">
                  <c:v>497723.66782299743</c:v>
                </c:pt>
                <c:pt idx="8">
                  <c:v>506165.08803445933</c:v>
                </c:pt>
                <c:pt idx="9">
                  <c:v>514606.50824592117</c:v>
                </c:pt>
                <c:pt idx="10">
                  <c:v>523047.92845738307</c:v>
                </c:pt>
                <c:pt idx="11">
                  <c:v>531489.3486688449</c:v>
                </c:pt>
                <c:pt idx="12">
                  <c:v>539930.76888030674</c:v>
                </c:pt>
                <c:pt idx="13">
                  <c:v>548372.18909176858</c:v>
                </c:pt>
                <c:pt idx="14">
                  <c:v>556813.60930323042</c:v>
                </c:pt>
                <c:pt idx="15">
                  <c:v>565255.02951469226</c:v>
                </c:pt>
                <c:pt idx="16">
                  <c:v>573696.4497261541</c:v>
                </c:pt>
                <c:pt idx="17">
                  <c:v>566783.85499768297</c:v>
                </c:pt>
              </c:numCache>
            </c:numRef>
          </c:yVal>
        </c:ser>
        <c:ser>
          <c:idx val="4"/>
          <c:order val="2"/>
          <c:tx>
            <c:strRef>
              <c:f>VS_TAK!$B$66</c:f>
              <c:strCache>
                <c:ptCount val="1"/>
                <c:pt idx="0">
                  <c:v>Kütuste kulu kokku</c:v>
                </c:pt>
              </c:strCache>
            </c:strRef>
          </c:tx>
          <c:marker>
            <c:symbol val="none"/>
          </c:marker>
          <c:xVal>
            <c:numRef>
              <c:f>VS_TAK!$D$4:$U$4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VS_TAK!$D$66:$U$66</c:f>
              <c:numCache>
                <c:formatCode>#,##0</c:formatCode>
                <c:ptCount val="18"/>
                <c:pt idx="1">
                  <c:v>1129444.8061100517</c:v>
                </c:pt>
                <c:pt idx="2">
                  <c:v>1152465.5955747229</c:v>
                </c:pt>
                <c:pt idx="3">
                  <c:v>1175486.385039394</c:v>
                </c:pt>
                <c:pt idx="4">
                  <c:v>1198507.1745040654</c:v>
                </c:pt>
                <c:pt idx="5">
                  <c:v>1221527.9639687366</c:v>
                </c:pt>
                <c:pt idx="6">
                  <c:v>1244548.7534334077</c:v>
                </c:pt>
                <c:pt idx="7">
                  <c:v>1265931.0717539357</c:v>
                </c:pt>
                <c:pt idx="8">
                  <c:v>1287313.3900744636</c:v>
                </c:pt>
                <c:pt idx="9">
                  <c:v>1308695.7083949912</c:v>
                </c:pt>
                <c:pt idx="10">
                  <c:v>1330078.0267155191</c:v>
                </c:pt>
                <c:pt idx="11">
                  <c:v>1351460.345036047</c:v>
                </c:pt>
                <c:pt idx="12">
                  <c:v>1372842.663356575</c:v>
                </c:pt>
                <c:pt idx="13">
                  <c:v>1394224.9816771029</c:v>
                </c:pt>
                <c:pt idx="14">
                  <c:v>1415607.2999976308</c:v>
                </c:pt>
                <c:pt idx="15">
                  <c:v>1436989.6183181587</c:v>
                </c:pt>
                <c:pt idx="16">
                  <c:v>1458371.9366386866</c:v>
                </c:pt>
                <c:pt idx="17">
                  <c:v>1436668.7479523181</c:v>
                </c:pt>
              </c:numCache>
            </c:numRef>
          </c:yVal>
        </c:ser>
        <c:axId val="76267520"/>
        <c:axId val="76269056"/>
      </c:scatterChart>
      <c:valAx>
        <c:axId val="76267520"/>
        <c:scaling>
          <c:orientation val="minMax"/>
        </c:scaling>
        <c:axPos val="b"/>
        <c:numFmt formatCode="General" sourceLinked="1"/>
        <c:tickLblPos val="nextTo"/>
        <c:crossAx val="76269056"/>
        <c:crosses val="autoZero"/>
        <c:crossBetween val="midCat"/>
      </c:valAx>
      <c:valAx>
        <c:axId val="76269056"/>
        <c:scaling>
          <c:orientation val="minMax"/>
        </c:scaling>
        <c:axPos val="l"/>
        <c:majorGridlines/>
        <c:numFmt formatCode="0.0" sourceLinked="1"/>
        <c:tickLblPos val="nextTo"/>
        <c:crossAx val="762675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488" r="0.7500000000000048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title>
      <c:tx>
        <c:rich>
          <a:bodyPr/>
          <a:lstStyle/>
          <a:p>
            <a:pPr>
              <a:defRPr sz="1200"/>
            </a:pPr>
            <a:r>
              <a:rPr lang="et-EE" sz="1200"/>
              <a:t>Transpordi energiatarbimine,</a:t>
            </a:r>
            <a:r>
              <a:rPr lang="et-EE" sz="1200" baseline="0"/>
              <a:t> TJ. Vähesekkuv</a:t>
            </a:r>
            <a:endParaRPr lang="et-EE" sz="1200"/>
          </a:p>
        </c:rich>
      </c:tx>
    </c:title>
    <c:plotArea>
      <c:layout/>
      <c:barChart>
        <c:barDir val="col"/>
        <c:grouping val="stacked"/>
        <c:ser>
          <c:idx val="1"/>
          <c:order val="0"/>
          <c:tx>
            <c:strRef>
              <c:f>VS_TAK!$B$6</c:f>
              <c:strCache>
                <c:ptCount val="1"/>
                <c:pt idx="0">
                  <c:v>Elekter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VS_TAK!$E$6:$X$6</c:f>
              <c:numCache>
                <c:formatCode>#,##0</c:formatCode>
                <c:ptCount val="20"/>
                <c:pt idx="0">
                  <c:v>217.90365597825797</c:v>
                </c:pt>
                <c:pt idx="1">
                  <c:v>212.51546077364176</c:v>
                </c:pt>
                <c:pt idx="2">
                  <c:v>207.12726556902558</c:v>
                </c:pt>
                <c:pt idx="3">
                  <c:v>201.73907036440937</c:v>
                </c:pt>
                <c:pt idx="4">
                  <c:v>196.35087515979319</c:v>
                </c:pt>
                <c:pt idx="5">
                  <c:v>190.96267995517698</c:v>
                </c:pt>
                <c:pt idx="6">
                  <c:v>220.07264420850336</c:v>
                </c:pt>
                <c:pt idx="7">
                  <c:v>249.18260846182972</c:v>
                </c:pt>
                <c:pt idx="8">
                  <c:v>278.2925727151561</c:v>
                </c:pt>
                <c:pt idx="9">
                  <c:v>307.40253696848248</c:v>
                </c:pt>
                <c:pt idx="10">
                  <c:v>336.51250122180886</c:v>
                </c:pt>
                <c:pt idx="11">
                  <c:v>365.62246547513524</c:v>
                </c:pt>
                <c:pt idx="12">
                  <c:v>394.73242972846163</c:v>
                </c:pt>
                <c:pt idx="13">
                  <c:v>423.84239398178795</c:v>
                </c:pt>
                <c:pt idx="14">
                  <c:v>452.95235823511433</c:v>
                </c:pt>
                <c:pt idx="15">
                  <c:v>482.06232248844071</c:v>
                </c:pt>
                <c:pt idx="16">
                  <c:v>665.30614568210103</c:v>
                </c:pt>
                <c:pt idx="17">
                  <c:v>848.54996887576124</c:v>
                </c:pt>
                <c:pt idx="18">
                  <c:v>940.1718804725914</c:v>
                </c:pt>
                <c:pt idx="19">
                  <c:v>1215.0376152630818</c:v>
                </c:pt>
              </c:numCache>
            </c:numRef>
          </c:val>
        </c:ser>
        <c:ser>
          <c:idx val="2"/>
          <c:order val="1"/>
          <c:tx>
            <c:strRef>
              <c:f>VS_TAK!$B$7</c:f>
              <c:strCache>
                <c:ptCount val="1"/>
                <c:pt idx="0">
                  <c:v>Bensiin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VS_TAK!$E$7:$X$7</c:f>
              <c:numCache>
                <c:formatCode>#,##0</c:formatCode>
                <c:ptCount val="20"/>
                <c:pt idx="0">
                  <c:v>11429.577206539847</c:v>
                </c:pt>
                <c:pt idx="1">
                  <c:v>11615.262129847561</c:v>
                </c:pt>
                <c:pt idx="2">
                  <c:v>11800.947053155276</c:v>
                </c:pt>
                <c:pt idx="3">
                  <c:v>11986.63197646299</c:v>
                </c:pt>
                <c:pt idx="4">
                  <c:v>12172.316899770705</c:v>
                </c:pt>
                <c:pt idx="5">
                  <c:v>12358.001823078419</c:v>
                </c:pt>
                <c:pt idx="6">
                  <c:v>12204.56282866006</c:v>
                </c:pt>
                <c:pt idx="7">
                  <c:v>12051.123834241702</c:v>
                </c:pt>
                <c:pt idx="8">
                  <c:v>11897.684839823345</c:v>
                </c:pt>
                <c:pt idx="9">
                  <c:v>11744.245845404987</c:v>
                </c:pt>
                <c:pt idx="10">
                  <c:v>11590.806850986628</c:v>
                </c:pt>
                <c:pt idx="11">
                  <c:v>11437.367856568269</c:v>
                </c:pt>
                <c:pt idx="12">
                  <c:v>11283.928862149913</c:v>
                </c:pt>
                <c:pt idx="13">
                  <c:v>11130.489867731554</c:v>
                </c:pt>
                <c:pt idx="14">
                  <c:v>10977.050873313197</c:v>
                </c:pt>
                <c:pt idx="15">
                  <c:v>10823.611878894839</c:v>
                </c:pt>
                <c:pt idx="16">
                  <c:v>9635.9811546664787</c:v>
                </c:pt>
                <c:pt idx="17">
                  <c:v>8448.3504304381167</c:v>
                </c:pt>
                <c:pt idx="18">
                  <c:v>7854.5350683239358</c:v>
                </c:pt>
                <c:pt idx="19">
                  <c:v>6073.0889819813938</c:v>
                </c:pt>
              </c:numCache>
            </c:numRef>
          </c:val>
        </c:ser>
        <c:ser>
          <c:idx val="3"/>
          <c:order val="2"/>
          <c:tx>
            <c:strRef>
              <c:f>VS_TAK!$B$8</c:f>
              <c:strCache>
                <c:ptCount val="1"/>
                <c:pt idx="0">
                  <c:v>Diislikütus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VS_TAK!$E$8:$X$8</c:f>
              <c:numCache>
                <c:formatCode>#,##0</c:formatCode>
                <c:ptCount val="20"/>
                <c:pt idx="0">
                  <c:v>19075.567583884251</c:v>
                </c:pt>
                <c:pt idx="1">
                  <c:v>19059.283560362197</c:v>
                </c:pt>
                <c:pt idx="2">
                  <c:v>19042.999536840143</c:v>
                </c:pt>
                <c:pt idx="3">
                  <c:v>19026.71551331809</c:v>
                </c:pt>
                <c:pt idx="4">
                  <c:v>19010.431489796036</c:v>
                </c:pt>
                <c:pt idx="5">
                  <c:v>18994.147466273982</c:v>
                </c:pt>
                <c:pt idx="6">
                  <c:v>19067.089457428166</c:v>
                </c:pt>
                <c:pt idx="7">
                  <c:v>19140.031448582351</c:v>
                </c:pt>
                <c:pt idx="8">
                  <c:v>19212.973439736532</c:v>
                </c:pt>
                <c:pt idx="9">
                  <c:v>19285.915430890716</c:v>
                </c:pt>
                <c:pt idx="10">
                  <c:v>19358.857422044901</c:v>
                </c:pt>
                <c:pt idx="11">
                  <c:v>19431.799413199085</c:v>
                </c:pt>
                <c:pt idx="12">
                  <c:v>19504.741404353266</c:v>
                </c:pt>
                <c:pt idx="13">
                  <c:v>19577.683395507451</c:v>
                </c:pt>
                <c:pt idx="14">
                  <c:v>19650.625386661632</c:v>
                </c:pt>
                <c:pt idx="15">
                  <c:v>19723.567377815816</c:v>
                </c:pt>
                <c:pt idx="16">
                  <c:v>19278.218915204146</c:v>
                </c:pt>
                <c:pt idx="17">
                  <c:v>18832.87045259248</c:v>
                </c:pt>
                <c:pt idx="18">
                  <c:v>18610.196221286646</c:v>
                </c:pt>
                <c:pt idx="19">
                  <c:v>17942.173527369145</c:v>
                </c:pt>
              </c:numCache>
            </c:numRef>
          </c:val>
        </c:ser>
        <c:ser>
          <c:idx val="4"/>
          <c:order val="3"/>
          <c:tx>
            <c:strRef>
              <c:f>VS_TAK!$B$9</c:f>
              <c:strCache>
                <c:ptCount val="1"/>
                <c:pt idx="0">
                  <c:v>Maagaas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VS_TAK!$E$9:$X$9</c:f>
              <c:numCache>
                <c:formatCode>#,##0</c:formatCode>
                <c:ptCount val="20"/>
                <c:pt idx="0">
                  <c:v>339.21154608061659</c:v>
                </c:pt>
                <c:pt idx="1">
                  <c:v>407.05385529673993</c:v>
                </c:pt>
                <c:pt idx="2">
                  <c:v>474.89616451286321</c:v>
                </c:pt>
                <c:pt idx="3">
                  <c:v>542.73847372898649</c:v>
                </c:pt>
                <c:pt idx="4">
                  <c:v>610.58078294510983</c:v>
                </c:pt>
                <c:pt idx="5">
                  <c:v>678.42309216123317</c:v>
                </c:pt>
                <c:pt idx="6">
                  <c:v>896.10337801765377</c:v>
                </c:pt>
                <c:pt idx="7">
                  <c:v>1113.7836638740741</c:v>
                </c:pt>
                <c:pt idx="8">
                  <c:v>1331.4639497304947</c:v>
                </c:pt>
                <c:pt idx="9">
                  <c:v>1549.1442355869153</c:v>
                </c:pt>
                <c:pt idx="10">
                  <c:v>1766.8245214433359</c:v>
                </c:pt>
                <c:pt idx="11">
                  <c:v>1984.5048072997565</c:v>
                </c:pt>
                <c:pt idx="12">
                  <c:v>2202.1850931561771</c:v>
                </c:pt>
                <c:pt idx="13">
                  <c:v>2419.8653790125973</c:v>
                </c:pt>
                <c:pt idx="14">
                  <c:v>2637.5456648690179</c:v>
                </c:pt>
                <c:pt idx="15">
                  <c:v>2855.2259507254385</c:v>
                </c:pt>
                <c:pt idx="16">
                  <c:v>2870.3633311232197</c:v>
                </c:pt>
                <c:pt idx="17">
                  <c:v>2885.500711521001</c:v>
                </c:pt>
                <c:pt idx="18">
                  <c:v>2893.0694017198916</c:v>
                </c:pt>
                <c:pt idx="19">
                  <c:v>2915.7754723165635</c:v>
                </c:pt>
              </c:numCache>
            </c:numRef>
          </c:val>
        </c:ser>
        <c:ser>
          <c:idx val="5"/>
          <c:order val="4"/>
          <c:tx>
            <c:strRef>
              <c:f>VS_TAK!$B$10</c:f>
              <c:strCache>
                <c:ptCount val="1"/>
                <c:pt idx="0">
                  <c:v>Etanool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VS_TAK!$E$10:$X$10</c:f>
              <c:numCache>
                <c:formatCode>#,##0</c:formatCode>
                <c:ptCount val="20"/>
                <c:pt idx="0">
                  <c:v>588.47627728944849</c:v>
                </c:pt>
                <c:pt idx="1">
                  <c:v>706.17153274733823</c:v>
                </c:pt>
                <c:pt idx="2">
                  <c:v>823.86678820522786</c:v>
                </c:pt>
                <c:pt idx="3">
                  <c:v>941.56204366311761</c:v>
                </c:pt>
                <c:pt idx="4">
                  <c:v>1059.2572991210072</c:v>
                </c:pt>
                <c:pt idx="5">
                  <c:v>1176.952554578897</c:v>
                </c:pt>
                <c:pt idx="6">
                  <c:v>1167.4934179099557</c:v>
                </c:pt>
                <c:pt idx="7">
                  <c:v>1158.0342812410145</c:v>
                </c:pt>
                <c:pt idx="8">
                  <c:v>1148.575144572073</c:v>
                </c:pt>
                <c:pt idx="9">
                  <c:v>1139.1160079031317</c:v>
                </c:pt>
                <c:pt idx="10">
                  <c:v>1129.6568712341905</c:v>
                </c:pt>
                <c:pt idx="11">
                  <c:v>1120.1977345652492</c:v>
                </c:pt>
                <c:pt idx="12">
                  <c:v>1110.7385978963077</c:v>
                </c:pt>
                <c:pt idx="13">
                  <c:v>1101.2794612273665</c:v>
                </c:pt>
                <c:pt idx="14">
                  <c:v>1091.820324558425</c:v>
                </c:pt>
                <c:pt idx="15">
                  <c:v>1082.3611878894837</c:v>
                </c:pt>
                <c:pt idx="16">
                  <c:v>985.28771897372405</c:v>
                </c:pt>
                <c:pt idx="17">
                  <c:v>888.21425005796436</c:v>
                </c:pt>
                <c:pt idx="18">
                  <c:v>839.67751560008458</c:v>
                </c:pt>
                <c:pt idx="19">
                  <c:v>694.0673122264451</c:v>
                </c:pt>
              </c:numCache>
            </c:numRef>
          </c:val>
        </c:ser>
        <c:ser>
          <c:idx val="6"/>
          <c:order val="5"/>
          <c:tx>
            <c:strRef>
              <c:f>VS_TAK!$B$11</c:f>
              <c:strCache>
                <c:ptCount val="1"/>
                <c:pt idx="0">
                  <c:v>Biodiisel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VS_TAK!$E$11:$X$11</c:f>
              <c:numCache>
                <c:formatCode>#,##0</c:formatCode>
                <c:ptCount val="20"/>
                <c:pt idx="0">
                  <c:v>408.44386006507523</c:v>
                </c:pt>
                <c:pt idx="1">
                  <c:v>490.1326320780903</c:v>
                </c:pt>
                <c:pt idx="2">
                  <c:v>571.82140409110525</c:v>
                </c:pt>
                <c:pt idx="3">
                  <c:v>653.51017610412032</c:v>
                </c:pt>
                <c:pt idx="4">
                  <c:v>735.19894811713539</c:v>
                </c:pt>
                <c:pt idx="5">
                  <c:v>816.88772013015046</c:v>
                </c:pt>
                <c:pt idx="6">
                  <c:v>747.36416613541951</c:v>
                </c:pt>
                <c:pt idx="7">
                  <c:v>677.84061214068856</c:v>
                </c:pt>
                <c:pt idx="8">
                  <c:v>608.31705814595762</c:v>
                </c:pt>
                <c:pt idx="9">
                  <c:v>538.79350415122667</c:v>
                </c:pt>
                <c:pt idx="10">
                  <c:v>469.26995015649578</c:v>
                </c:pt>
                <c:pt idx="11">
                  <c:v>399.74639616176484</c:v>
                </c:pt>
                <c:pt idx="12">
                  <c:v>330.22284216703395</c:v>
                </c:pt>
                <c:pt idx="13">
                  <c:v>260.699288172303</c:v>
                </c:pt>
                <c:pt idx="14">
                  <c:v>191.17573417757205</c:v>
                </c:pt>
                <c:pt idx="15">
                  <c:v>121.65218018284112</c:v>
                </c:pt>
                <c:pt idx="16">
                  <c:v>91.239135137130845</c:v>
                </c:pt>
                <c:pt idx="17">
                  <c:v>60.826090091420561</c:v>
                </c:pt>
                <c:pt idx="18">
                  <c:v>45.619567568565422</c:v>
                </c:pt>
                <c:pt idx="19">
                  <c:v>0</c:v>
                </c:pt>
              </c:numCache>
            </c:numRef>
          </c:val>
        </c:ser>
        <c:ser>
          <c:idx val="7"/>
          <c:order val="6"/>
          <c:tx>
            <c:strRef>
              <c:f>VS_TAK!$B$12</c:f>
              <c:strCache>
                <c:ptCount val="1"/>
                <c:pt idx="0">
                  <c:v>Biometaan</c:v>
                </c:pt>
              </c:strCache>
            </c:strRef>
          </c:tx>
          <c:cat>
            <c:numRef>
              <c:f>VS_TAK!$E$4:$X$4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2035</c:v>
                </c:pt>
                <c:pt idx="17">
                  <c:v>2040</c:v>
                </c:pt>
                <c:pt idx="18">
                  <c:v>2045</c:v>
                </c:pt>
                <c:pt idx="19">
                  <c:v>2050</c:v>
                </c:pt>
              </c:numCache>
            </c:numRef>
          </c:cat>
          <c:val>
            <c:numRef>
              <c:f>VS_TAK!$E$12:$X$12</c:f>
              <c:numCache>
                <c:formatCode>#,##0</c:formatCode>
                <c:ptCount val="20"/>
                <c:pt idx="0">
                  <c:v>634.21101468713482</c:v>
                </c:pt>
                <c:pt idx="1">
                  <c:v>761.05321762456174</c:v>
                </c:pt>
                <c:pt idx="2">
                  <c:v>887.89542056198877</c:v>
                </c:pt>
                <c:pt idx="3">
                  <c:v>1014.7376234994157</c:v>
                </c:pt>
                <c:pt idx="4">
                  <c:v>1141.5798264368427</c:v>
                </c:pt>
                <c:pt idx="5">
                  <c:v>1268.4220293742696</c:v>
                </c:pt>
                <c:pt idx="6">
                  <c:v>1642.4420668819714</c:v>
                </c:pt>
                <c:pt idx="7">
                  <c:v>2016.4621043896732</c:v>
                </c:pt>
                <c:pt idx="8">
                  <c:v>2390.4821418973747</c:v>
                </c:pt>
                <c:pt idx="9">
                  <c:v>2764.5021794050763</c:v>
                </c:pt>
                <c:pt idx="10">
                  <c:v>3138.5222169127783</c:v>
                </c:pt>
                <c:pt idx="11">
                  <c:v>3512.5422544204803</c:v>
                </c:pt>
                <c:pt idx="12">
                  <c:v>3886.5622919281818</c:v>
                </c:pt>
                <c:pt idx="13">
                  <c:v>4260.5823294358834</c:v>
                </c:pt>
                <c:pt idx="14">
                  <c:v>4634.6023669435854</c:v>
                </c:pt>
                <c:pt idx="15">
                  <c:v>5008.6224044512874</c:v>
                </c:pt>
                <c:pt idx="16">
                  <c:v>5131.1361718072931</c:v>
                </c:pt>
                <c:pt idx="17">
                  <c:v>5253.6499391632979</c:v>
                </c:pt>
                <c:pt idx="18">
                  <c:v>5314.9068228413007</c:v>
                </c:pt>
                <c:pt idx="19">
                  <c:v>5498.6774738753084</c:v>
                </c:pt>
              </c:numCache>
            </c:numRef>
          </c:val>
        </c:ser>
        <c:gapWidth val="55"/>
        <c:overlap val="100"/>
        <c:axId val="76363264"/>
        <c:axId val="76364800"/>
      </c:barChart>
      <c:catAx>
        <c:axId val="76363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76364800"/>
        <c:crosses val="autoZero"/>
        <c:auto val="1"/>
        <c:lblAlgn val="ctr"/>
        <c:lblOffset val="100"/>
      </c:catAx>
      <c:valAx>
        <c:axId val="76364800"/>
        <c:scaling>
          <c:orientation val="minMax"/>
          <c:max val="50000"/>
        </c:scaling>
        <c:axPos val="l"/>
        <c:majorGridlines/>
        <c:numFmt formatCode="General" sourceLinked="0"/>
        <c:majorTickMark val="none"/>
        <c:tickLblPos val="nextTo"/>
        <c:txPr>
          <a:bodyPr/>
          <a:lstStyle/>
          <a:p>
            <a:pPr>
              <a:defRPr sz="900"/>
            </a:pPr>
            <a:endParaRPr lang="et-EE"/>
          </a:p>
        </c:txPr>
        <c:crossAx val="763632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289" l="0.70000000000000162" r="0.700000000000001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0"/>
          <c:order val="0"/>
          <c:tx>
            <c:strRef>
              <c:f>VS_TAK!$A$33:$C$33</c:f>
              <c:strCache>
                <c:ptCount val="1"/>
                <c:pt idx="0">
                  <c:v>Maanteed ja tänavad  € 1 000 </c:v>
                </c:pt>
              </c:strCache>
            </c:strRef>
          </c:tx>
          <c:marker>
            <c:symbol val="none"/>
          </c:marker>
          <c:xVal>
            <c:numRef>
              <c:f>VS_TAK!$D$31:$AL$31</c:f>
              <c:numCache>
                <c:formatCode>General</c:formatCode>
                <c:ptCount val="3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VS_TAK!$D$33:$AL$33</c:f>
              <c:numCache>
                <c:formatCode>#,##0</c:formatCode>
                <c:ptCount val="35"/>
                <c:pt idx="1">
                  <c:v>99736.849093538825</c:v>
                </c:pt>
                <c:pt idx="2">
                  <c:v>99800.869277318416</c:v>
                </c:pt>
                <c:pt idx="3">
                  <c:v>99864.889461098035</c:v>
                </c:pt>
                <c:pt idx="4">
                  <c:v>99928.909644877625</c:v>
                </c:pt>
                <c:pt idx="5">
                  <c:v>99992.929828657245</c:v>
                </c:pt>
                <c:pt idx="6">
                  <c:v>100056.95001243684</c:v>
                </c:pt>
                <c:pt idx="7">
                  <c:v>98812.032572846016</c:v>
                </c:pt>
                <c:pt idx="8">
                  <c:v>97567.115133255167</c:v>
                </c:pt>
                <c:pt idx="9">
                  <c:v>96322.197693664348</c:v>
                </c:pt>
                <c:pt idx="10">
                  <c:v>95077.280254073514</c:v>
                </c:pt>
                <c:pt idx="11">
                  <c:v>93832.36281448268</c:v>
                </c:pt>
                <c:pt idx="12">
                  <c:v>94248.774106482466</c:v>
                </c:pt>
                <c:pt idx="13">
                  <c:v>94665.185398482252</c:v>
                </c:pt>
                <c:pt idx="14">
                  <c:v>95081.596690482038</c:v>
                </c:pt>
                <c:pt idx="15">
                  <c:v>95498.007982481824</c:v>
                </c:pt>
                <c:pt idx="16">
                  <c:v>95914.419274481595</c:v>
                </c:pt>
                <c:pt idx="17">
                  <c:v>97203.363712503691</c:v>
                </c:pt>
                <c:pt idx="18">
                  <c:v>98465.981346931352</c:v>
                </c:pt>
                <c:pt idx="19">
                  <c:v>99704.165914754529</c:v>
                </c:pt>
                <c:pt idx="20">
                  <c:v>100919.63377911071</c:v>
                </c:pt>
              </c:numCache>
            </c:numRef>
          </c:yVal>
        </c:ser>
        <c:ser>
          <c:idx val="1"/>
          <c:order val="1"/>
          <c:tx>
            <c:strRef>
              <c:f>VS_TAK!$A$37:$C$37</c:f>
              <c:strCache>
                <c:ptCount val="1"/>
                <c:pt idx="0">
                  <c:v>Raudteed  € 1 000 </c:v>
                </c:pt>
              </c:strCache>
            </c:strRef>
          </c:tx>
          <c:marker>
            <c:symbol val="none"/>
          </c:marker>
          <c:xVal>
            <c:numRef>
              <c:f>VS_TAK!$D$31:$AL$31</c:f>
              <c:numCache>
                <c:formatCode>General</c:formatCode>
                <c:ptCount val="3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VS_TAK!$D$37:$AL$37</c:f>
              <c:numCache>
                <c:formatCode>#,##0</c:formatCode>
                <c:ptCount val="3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26000</c:v>
                </c:pt>
                <c:pt idx="12">
                  <c:v>26000</c:v>
                </c:pt>
                <c:pt idx="13">
                  <c:v>26000</c:v>
                </c:pt>
                <c:pt idx="14">
                  <c:v>26000</c:v>
                </c:pt>
                <c:pt idx="15">
                  <c:v>26000</c:v>
                </c:pt>
                <c:pt idx="16">
                  <c:v>26000</c:v>
                </c:pt>
                <c:pt idx="17">
                  <c:v>26000</c:v>
                </c:pt>
                <c:pt idx="18">
                  <c:v>26000</c:v>
                </c:pt>
                <c:pt idx="19">
                  <c:v>26000</c:v>
                </c:pt>
                <c:pt idx="20">
                  <c:v>26000</c:v>
                </c:pt>
              </c:numCache>
            </c:numRef>
          </c:yVal>
        </c:ser>
        <c:ser>
          <c:idx val="2"/>
          <c:order val="2"/>
          <c:tx>
            <c:strRef>
              <c:f>VS_TAK!$A$46:$C$46</c:f>
              <c:strCache>
                <c:ptCount val="1"/>
                <c:pt idx="0">
                  <c:v>Maanteed ja tänavad  € 1 000 </c:v>
                </c:pt>
              </c:strCache>
            </c:strRef>
          </c:tx>
          <c:marker>
            <c:symbol val="none"/>
          </c:marker>
          <c:xVal>
            <c:numRef>
              <c:f>VS_TAK!$D$31:$AL$31</c:f>
              <c:numCache>
                <c:formatCode>General</c:formatCode>
                <c:ptCount val="3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VS_TAK!$D$46:$AL$46</c:f>
              <c:numCache>
                <c:formatCode>#,##0</c:formatCode>
                <c:ptCount val="35"/>
                <c:pt idx="1">
                  <c:v>205605.27364030824</c:v>
                </c:pt>
                <c:pt idx="2">
                  <c:v>205017.24767495974</c:v>
                </c:pt>
                <c:pt idx="3">
                  <c:v>204429.22170961124</c:v>
                </c:pt>
                <c:pt idx="4">
                  <c:v>203841.19574426275</c:v>
                </c:pt>
                <c:pt idx="5">
                  <c:v>203253.16977891425</c:v>
                </c:pt>
                <c:pt idx="6">
                  <c:v>202665.14381356575</c:v>
                </c:pt>
                <c:pt idx="7">
                  <c:v>206801.77908860781</c:v>
                </c:pt>
                <c:pt idx="8">
                  <c:v>210938.41436364991</c:v>
                </c:pt>
                <c:pt idx="9">
                  <c:v>215075.049638692</c:v>
                </c:pt>
                <c:pt idx="10">
                  <c:v>219211.68491373406</c:v>
                </c:pt>
                <c:pt idx="11">
                  <c:v>223348.32018877612</c:v>
                </c:pt>
                <c:pt idx="12">
                  <c:v>227742.79728641582</c:v>
                </c:pt>
                <c:pt idx="13">
                  <c:v>232137.27438405552</c:v>
                </c:pt>
                <c:pt idx="14">
                  <c:v>236531.75148169522</c:v>
                </c:pt>
                <c:pt idx="15">
                  <c:v>240926.22857933494</c:v>
                </c:pt>
                <c:pt idx="16">
                  <c:v>245320.70567697464</c:v>
                </c:pt>
                <c:pt idx="17">
                  <c:v>250148.23988411599</c:v>
                </c:pt>
                <c:pt idx="18">
                  <c:v>254975.77409125731</c:v>
                </c:pt>
                <c:pt idx="19">
                  <c:v>259803.30829839862</c:v>
                </c:pt>
                <c:pt idx="20">
                  <c:v>264630.84250554006</c:v>
                </c:pt>
              </c:numCache>
            </c:numRef>
          </c:yVal>
        </c:ser>
        <c:ser>
          <c:idx val="3"/>
          <c:order val="3"/>
          <c:tx>
            <c:strRef>
              <c:f>VS_TAK!$A$49:$C$49</c:f>
              <c:strCache>
                <c:ptCount val="1"/>
                <c:pt idx="0">
                  <c:v>Raudteed  € 1 000 </c:v>
                </c:pt>
              </c:strCache>
            </c:strRef>
          </c:tx>
          <c:marker>
            <c:symbol val="none"/>
          </c:marker>
          <c:xVal>
            <c:numRef>
              <c:f>VS_TAK!$D$31:$AL$31</c:f>
              <c:numCache>
                <c:formatCode>General</c:formatCode>
                <c:ptCount val="3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VS_TAK!$D$49:$AL$49</c:f>
              <c:numCache>
                <c:formatCode>#,##0</c:formatCode>
                <c:ptCount val="35"/>
                <c:pt idx="1">
                  <c:v>17567.25</c:v>
                </c:pt>
                <c:pt idx="2">
                  <c:v>21567.25</c:v>
                </c:pt>
                <c:pt idx="3">
                  <c:v>25567.25</c:v>
                </c:pt>
                <c:pt idx="4">
                  <c:v>29567.25</c:v>
                </c:pt>
                <c:pt idx="5">
                  <c:v>33567.25</c:v>
                </c:pt>
                <c:pt idx="6">
                  <c:v>37567.25</c:v>
                </c:pt>
                <c:pt idx="7">
                  <c:v>38053.977956421964</c:v>
                </c:pt>
                <c:pt idx="8">
                  <c:v>38540.705912843921</c:v>
                </c:pt>
                <c:pt idx="9">
                  <c:v>39027.433869265886</c:v>
                </c:pt>
                <c:pt idx="10">
                  <c:v>39514.16182568785</c:v>
                </c:pt>
                <c:pt idx="11">
                  <c:v>43504.60452656608</c:v>
                </c:pt>
                <c:pt idx="12">
                  <c:v>43345.435581371159</c:v>
                </c:pt>
                <c:pt idx="13">
                  <c:v>43186.266636176239</c:v>
                </c:pt>
                <c:pt idx="14">
                  <c:v>43027.097690981318</c:v>
                </c:pt>
                <c:pt idx="15">
                  <c:v>42867.928745786397</c:v>
                </c:pt>
                <c:pt idx="16">
                  <c:v>42708.75980059147</c:v>
                </c:pt>
                <c:pt idx="17">
                  <c:v>43014.950408556288</c:v>
                </c:pt>
                <c:pt idx="18">
                  <c:v>43321.141016521113</c:v>
                </c:pt>
                <c:pt idx="19">
                  <c:v>43627.331624485916</c:v>
                </c:pt>
                <c:pt idx="20">
                  <c:v>43933.522232450741</c:v>
                </c:pt>
              </c:numCache>
            </c:numRef>
          </c:yVal>
        </c:ser>
        <c:ser>
          <c:idx val="4"/>
          <c:order val="4"/>
          <c:tx>
            <c:strRef>
              <c:f>VS_TAK!$A$57:$C$57</c:f>
              <c:strCache>
                <c:ptCount val="1"/>
                <c:pt idx="0">
                  <c:v>25 Dotatsioon  € 1 000 </c:v>
                </c:pt>
              </c:strCache>
            </c:strRef>
          </c:tx>
          <c:marker>
            <c:symbol val="none"/>
          </c:marker>
          <c:xVal>
            <c:numRef>
              <c:f>VS_TAK!$D$31:$AL$31</c:f>
              <c:numCache>
                <c:formatCode>General</c:formatCode>
                <c:ptCount val="3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VS_TAK!$D$57:$AL$57</c:f>
              <c:numCache>
                <c:formatCode>#,##0</c:formatCode>
                <c:ptCount val="35"/>
                <c:pt idx="1">
                  <c:v>80697.777436650402</c:v>
                </c:pt>
                <c:pt idx="2">
                  <c:v>81842.409849913325</c:v>
                </c:pt>
                <c:pt idx="3">
                  <c:v>82987.042263176249</c:v>
                </c:pt>
                <c:pt idx="4">
                  <c:v>84131.674676439172</c:v>
                </c:pt>
                <c:pt idx="5">
                  <c:v>85276.307089702095</c:v>
                </c:pt>
                <c:pt idx="6">
                  <c:v>86420.939502965019</c:v>
                </c:pt>
                <c:pt idx="7">
                  <c:v>89224.326956997305</c:v>
                </c:pt>
                <c:pt idx="8">
                  <c:v>92027.714411029607</c:v>
                </c:pt>
                <c:pt idx="9">
                  <c:v>94831.101865061908</c:v>
                </c:pt>
                <c:pt idx="10">
                  <c:v>97634.489319094224</c:v>
                </c:pt>
                <c:pt idx="11">
                  <c:v>100437.87677312651</c:v>
                </c:pt>
                <c:pt idx="12">
                  <c:v>99962.238438062166</c:v>
                </c:pt>
                <c:pt idx="13">
                  <c:v>99486.600102997822</c:v>
                </c:pt>
                <c:pt idx="14">
                  <c:v>99010.961767933477</c:v>
                </c:pt>
                <c:pt idx="15">
                  <c:v>98535.323432869132</c:v>
                </c:pt>
                <c:pt idx="16">
                  <c:v>98059.685097804788</c:v>
                </c:pt>
                <c:pt idx="17">
                  <c:v>96012.555034319841</c:v>
                </c:pt>
                <c:pt idx="18">
                  <c:v>94904.225987187558</c:v>
                </c:pt>
                <c:pt idx="19">
                  <c:v>94658.480079434055</c:v>
                </c:pt>
                <c:pt idx="20">
                  <c:v>95233.813167408254</c:v>
                </c:pt>
              </c:numCache>
            </c:numRef>
          </c:yVal>
        </c:ser>
        <c:axId val="76487296"/>
        <c:axId val="76501376"/>
      </c:scatterChart>
      <c:valAx>
        <c:axId val="76487296"/>
        <c:scaling>
          <c:orientation val="minMax"/>
        </c:scaling>
        <c:axPos val="b"/>
        <c:numFmt formatCode="General" sourceLinked="1"/>
        <c:tickLblPos val="nextTo"/>
        <c:crossAx val="76501376"/>
        <c:crosses val="autoZero"/>
        <c:crossBetween val="midCat"/>
      </c:valAx>
      <c:valAx>
        <c:axId val="76501376"/>
        <c:scaling>
          <c:orientation val="minMax"/>
        </c:scaling>
        <c:axPos val="l"/>
        <c:majorGridlines/>
        <c:numFmt formatCode="0.0" sourceLinked="1"/>
        <c:tickLblPos val="nextTo"/>
        <c:crossAx val="764872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/>
      <c:barChart>
        <c:barDir val="col"/>
        <c:grouping val="stacked"/>
        <c:ser>
          <c:idx val="0"/>
          <c:order val="0"/>
          <c:tx>
            <c:strRef>
              <c:f>TransportEE!$AA$6</c:f>
              <c:strCache>
                <c:ptCount val="1"/>
                <c:pt idx="0">
                  <c:v>Elekter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TransportEE!$AB$6:$AJ$6</c:f>
              <c:numCache>
                <c:formatCode>#,##0.0</c:formatCode>
                <c:ptCount val="9"/>
                <c:pt idx="0">
                  <c:v>5.4455520000000002</c:v>
                </c:pt>
                <c:pt idx="1">
                  <c:v>5.0032523240247233</c:v>
                </c:pt>
                <c:pt idx="2">
                  <c:v>5.615456635129731</c:v>
                </c:pt>
                <c:pt idx="3">
                  <c:v>15.680112126852022</c:v>
                </c:pt>
                <c:pt idx="4">
                  <c:v>25.744767618574315</c:v>
                </c:pt>
                <c:pt idx="5">
                  <c:v>32.064589199001141</c:v>
                </c:pt>
                <c:pt idx="6">
                  <c:v>38.384410779427959</c:v>
                </c:pt>
                <c:pt idx="7">
                  <c:v>41.544321569641376</c:v>
                </c:pt>
                <c:pt idx="8">
                  <c:v>51.024053940281611</c:v>
                </c:pt>
              </c:numCache>
            </c:numRef>
          </c:val>
        </c:ser>
        <c:ser>
          <c:idx val="1"/>
          <c:order val="1"/>
          <c:tx>
            <c:strRef>
              <c:f>TransportEE!$AA$7</c:f>
              <c:strCache>
                <c:ptCount val="1"/>
                <c:pt idx="0">
                  <c:v>Bensiin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TransportEE!$AB$7:$AJ$7</c:f>
              <c:numCache>
                <c:formatCode>#,##0.0</c:formatCode>
                <c:ptCount val="9"/>
                <c:pt idx="0">
                  <c:v>250.80952845959044</c:v>
                </c:pt>
                <c:pt idx="1">
                  <c:v>272.9840220009977</c:v>
                </c:pt>
                <c:pt idx="2">
                  <c:v>261.72396780449043</c:v>
                </c:pt>
                <c:pt idx="3">
                  <c:v>189.57146536239659</c:v>
                </c:pt>
                <c:pt idx="4">
                  <c:v>117.41896292030273</c:v>
                </c:pt>
                <c:pt idx="5">
                  <c:v>97.045635985782098</c:v>
                </c:pt>
                <c:pt idx="6">
                  <c:v>76.67230905126145</c:v>
                </c:pt>
                <c:pt idx="7">
                  <c:v>66.485645584001148</c:v>
                </c:pt>
                <c:pt idx="8">
                  <c:v>35.925655182220176</c:v>
                </c:pt>
              </c:numCache>
            </c:numRef>
          </c:val>
        </c:ser>
        <c:ser>
          <c:idx val="2"/>
          <c:order val="2"/>
          <c:tx>
            <c:strRef>
              <c:f>TransportEE!$AA$8</c:f>
              <c:strCache>
                <c:ptCount val="1"/>
                <c:pt idx="0">
                  <c:v>Diisel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TransportEE!$AB$8:$AJ$8</c:f>
              <c:numCache>
                <c:formatCode>#,##0.0</c:formatCode>
                <c:ptCount val="9"/>
                <c:pt idx="0">
                  <c:v>457.5454942624952</c:v>
                </c:pt>
                <c:pt idx="1">
                  <c:v>455.60085617349142</c:v>
                </c:pt>
                <c:pt idx="2">
                  <c:v>378.15025284163477</c:v>
                </c:pt>
                <c:pt idx="3">
                  <c:v>342.03545500024165</c:v>
                </c:pt>
                <c:pt idx="4">
                  <c:v>305.92065715884854</c:v>
                </c:pt>
                <c:pt idx="5">
                  <c:v>256.70739445624133</c:v>
                </c:pt>
                <c:pt idx="6">
                  <c:v>207.49413175363415</c:v>
                </c:pt>
                <c:pt idx="7">
                  <c:v>182.88750040233055</c:v>
                </c:pt>
                <c:pt idx="8">
                  <c:v>109.06760634841976</c:v>
                </c:pt>
              </c:numCache>
            </c:numRef>
          </c:val>
        </c:ser>
        <c:ser>
          <c:idx val="3"/>
          <c:order val="3"/>
          <c:tx>
            <c:strRef>
              <c:f>TransportEE!$AA$9</c:f>
              <c:strCache>
                <c:ptCount val="1"/>
                <c:pt idx="0">
                  <c:v>Maagaas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TransportEE!$AB$9:$AJ$9</c:f>
              <c:numCache>
                <c:formatCode>#,##0.0</c:formatCode>
                <c:ptCount val="9"/>
                <c:pt idx="0">
                  <c:v>0</c:v>
                </c:pt>
                <c:pt idx="1">
                  <c:v>8.101728566589447</c:v>
                </c:pt>
                <c:pt idx="2">
                  <c:v>24.725431686806356</c:v>
                </c:pt>
                <c:pt idx="3">
                  <c:v>45.93748116951069</c:v>
                </c:pt>
                <c:pt idx="4">
                  <c:v>67.14953065221502</c:v>
                </c:pt>
                <c:pt idx="5">
                  <c:v>60.362783195302661</c:v>
                </c:pt>
                <c:pt idx="6">
                  <c:v>53.576035738390303</c:v>
                </c:pt>
                <c:pt idx="7">
                  <c:v>50.182662009934134</c:v>
                </c:pt>
                <c:pt idx="8">
                  <c:v>40.0025408245656</c:v>
                </c:pt>
              </c:numCache>
            </c:numRef>
          </c:val>
        </c:ser>
        <c:ser>
          <c:idx val="4"/>
          <c:order val="4"/>
          <c:tx>
            <c:strRef>
              <c:f>TransportEE!$AA$10</c:f>
              <c:strCache>
                <c:ptCount val="1"/>
                <c:pt idx="0">
                  <c:v>Etanool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TransportEE!$AB$10:$AJ$10</c:f>
              <c:numCache>
                <c:formatCode>#,##0.0</c:formatCode>
                <c:ptCount val="9"/>
                <c:pt idx="0">
                  <c:v>0</c:v>
                </c:pt>
                <c:pt idx="1">
                  <c:v>14.055167406781187</c:v>
                </c:pt>
                <c:pt idx="2">
                  <c:v>26.172396780449048</c:v>
                </c:pt>
                <c:pt idx="3">
                  <c:v>32.656025543608322</c:v>
                </c:pt>
                <c:pt idx="4">
                  <c:v>39.139654306767589</c:v>
                </c:pt>
                <c:pt idx="5">
                  <c:v>31.996333022886002</c:v>
                </c:pt>
                <c:pt idx="6">
                  <c:v>24.853011739004412</c:v>
                </c:pt>
                <c:pt idx="7">
                  <c:v>21.281351097063613</c:v>
                </c:pt>
                <c:pt idx="8">
                  <c:v>10.566369171241227</c:v>
                </c:pt>
              </c:numCache>
            </c:numRef>
          </c:val>
        </c:ser>
        <c:ser>
          <c:idx val="5"/>
          <c:order val="5"/>
          <c:tx>
            <c:strRef>
              <c:f>TransportEE!$AA$11</c:f>
              <c:strCache>
                <c:ptCount val="1"/>
                <c:pt idx="0">
                  <c:v>Biodiisel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TransportEE!$AB$11:$AJ$11</c:f>
              <c:numCache>
                <c:formatCode>#,##0.0</c:formatCode>
                <c:ptCount val="9"/>
                <c:pt idx="0">
                  <c:v>0</c:v>
                </c:pt>
                <c:pt idx="1">
                  <c:v>9.7552731537942563</c:v>
                </c:pt>
                <c:pt idx="2">
                  <c:v>4.0548056185106764</c:v>
                </c:pt>
                <c:pt idx="3">
                  <c:v>2.0274028092553382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TransportEE!$AA$12</c:f>
              <c:strCache>
                <c:ptCount val="1"/>
                <c:pt idx="0">
                  <c:v>Biometaan</c:v>
                </c:pt>
              </c:strCache>
            </c:strRef>
          </c:tx>
          <c:cat>
            <c:strRef>
              <c:f>TransportEE!$AB$4:$AJ$5</c:f>
              <c:strCache>
                <c:ptCount val="9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>
                  <c:v>2050</c:v>
                </c:pt>
              </c:strCache>
            </c:strRef>
          </c:cat>
          <c:val>
            <c:numRef>
              <c:f>TransportEE!$AB$12:$AJ$12</c:f>
              <c:numCache>
                <c:formatCode>#,##0.0</c:formatCode>
                <c:ptCount val="9"/>
                <c:pt idx="0">
                  <c:v>0</c:v>
                </c:pt>
                <c:pt idx="1">
                  <c:v>15.147495874787527</c:v>
                </c:pt>
                <c:pt idx="2">
                  <c:v>46.33390565348401</c:v>
                </c:pt>
                <c:pt idx="3">
                  <c:v>94.823781765600913</c:v>
                </c:pt>
                <c:pt idx="4">
                  <c:v>143.31365787771782</c:v>
                </c:pt>
                <c:pt idx="5">
                  <c:v>137.06967504516251</c:v>
                </c:pt>
                <c:pt idx="6">
                  <c:v>130.82569221260721</c:v>
                </c:pt>
                <c:pt idx="7">
                  <c:v>127.70370079632954</c:v>
                </c:pt>
                <c:pt idx="8">
                  <c:v>118.33772654749657</c:v>
                </c:pt>
              </c:numCache>
            </c:numRef>
          </c:val>
        </c:ser>
        <c:overlap val="100"/>
        <c:axId val="76606464"/>
        <c:axId val="76821248"/>
      </c:barChart>
      <c:catAx>
        <c:axId val="76606464"/>
        <c:scaling>
          <c:orientation val="minMax"/>
        </c:scaling>
        <c:axPos val="b"/>
        <c:numFmt formatCode="General" sourceLinked="0"/>
        <c:tickLblPos val="nextTo"/>
        <c:crossAx val="76821248"/>
        <c:crosses val="autoZero"/>
        <c:auto val="1"/>
        <c:lblAlgn val="ctr"/>
        <c:lblOffset val="100"/>
      </c:catAx>
      <c:valAx>
        <c:axId val="76821248"/>
        <c:scaling>
          <c:orientation val="minMax"/>
        </c:scaling>
        <c:axPos val="l"/>
        <c:majorGridlines/>
        <c:numFmt formatCode="#,##0" sourceLinked="0"/>
        <c:tickLblPos val="nextTo"/>
        <c:crossAx val="76606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88" l="0.70000000000000362" r="0.700000000000003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plotArea>
      <c:layout/>
      <c:scatterChart>
        <c:scatterStyle val="lineMarker"/>
        <c:ser>
          <c:idx val="2"/>
          <c:order val="0"/>
          <c:tx>
            <c:strRef>
              <c:f>TransportEE!$B$64</c:f>
              <c:strCache>
                <c:ptCount val="1"/>
                <c:pt idx="0">
                  <c:v>Transpordi infra + stsen lisategevused</c:v>
                </c:pt>
              </c:strCache>
            </c:strRef>
          </c:tx>
          <c:marker>
            <c:symbol val="none"/>
          </c:marker>
          <c:xVal>
            <c:numRef>
              <c:f>TransportEE!$D$4:$U$4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TransportEE!$D$64:$U$64</c:f>
              <c:numCache>
                <c:formatCode>#,##0</c:formatCode>
                <c:ptCount val="18"/>
                <c:pt idx="1">
                  <c:v>452553.44974941283</c:v>
                </c:pt>
                <c:pt idx="2" formatCode="0">
                  <c:v>461171.48912837351</c:v>
                </c:pt>
                <c:pt idx="3" formatCode="0">
                  <c:v>469789.52850733418</c:v>
                </c:pt>
                <c:pt idx="4" formatCode="0">
                  <c:v>478407.56788629491</c:v>
                </c:pt>
                <c:pt idx="5" formatCode="0">
                  <c:v>487025.60726525559</c:v>
                </c:pt>
                <c:pt idx="6">
                  <c:v>495643.64664421626</c:v>
                </c:pt>
                <c:pt idx="7">
                  <c:v>504966.15420924732</c:v>
                </c:pt>
                <c:pt idx="8">
                  <c:v>514288.66177427844</c:v>
                </c:pt>
                <c:pt idx="9">
                  <c:v>523611.1693393095</c:v>
                </c:pt>
                <c:pt idx="10">
                  <c:v>532933.67690434062</c:v>
                </c:pt>
                <c:pt idx="11">
                  <c:v>542256.18446937168</c:v>
                </c:pt>
                <c:pt idx="12">
                  <c:v>546169.41205892409</c:v>
                </c:pt>
                <c:pt idx="13">
                  <c:v>550082.6396484765</c:v>
                </c:pt>
                <c:pt idx="14">
                  <c:v>553995.86723802891</c:v>
                </c:pt>
                <c:pt idx="15">
                  <c:v>557909.09482758131</c:v>
                </c:pt>
                <c:pt idx="16">
                  <c:v>561822.32241713372</c:v>
                </c:pt>
                <c:pt idx="17">
                  <c:v>561248.63148949924</c:v>
                </c:pt>
              </c:numCache>
            </c:numRef>
          </c:yVal>
        </c:ser>
        <c:ser>
          <c:idx val="3"/>
          <c:order val="1"/>
          <c:tx>
            <c:strRef>
              <c:f>TransportEE!$B$65</c:f>
              <c:strCache>
                <c:ptCount val="1"/>
                <c:pt idx="0">
                  <c:v>Aktsiis ja transpordimaksud kokku</c:v>
                </c:pt>
              </c:strCache>
            </c:strRef>
          </c:tx>
          <c:marker>
            <c:symbol val="none"/>
          </c:marker>
          <c:xVal>
            <c:numRef>
              <c:f>TransportEE!$D$4:$U$4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TransportEE!$D$65:$U$65</c:f>
              <c:numCache>
                <c:formatCode>#,##0</c:formatCode>
                <c:ptCount val="18"/>
                <c:pt idx="0">
                  <c:v>332254.11424651969</c:v>
                </c:pt>
                <c:pt idx="1">
                  <c:v>409018.18092902761</c:v>
                </c:pt>
                <c:pt idx="2">
                  <c:v>434871.96393859282</c:v>
                </c:pt>
                <c:pt idx="3">
                  <c:v>460725.74694815796</c:v>
                </c:pt>
                <c:pt idx="4">
                  <c:v>486579.52995772316</c:v>
                </c:pt>
                <c:pt idx="5">
                  <c:v>512433.31296728831</c:v>
                </c:pt>
                <c:pt idx="6">
                  <c:v>538287.09597685351</c:v>
                </c:pt>
                <c:pt idx="7">
                  <c:v>543198.90615879861</c:v>
                </c:pt>
                <c:pt idx="8">
                  <c:v>548110.71634074382</c:v>
                </c:pt>
                <c:pt idx="9">
                  <c:v>553022.52652268892</c:v>
                </c:pt>
                <c:pt idx="10">
                  <c:v>557934.33670463413</c:v>
                </c:pt>
                <c:pt idx="11">
                  <c:v>562846.14688657923</c:v>
                </c:pt>
                <c:pt idx="12">
                  <c:v>567757.95706852432</c:v>
                </c:pt>
                <c:pt idx="13">
                  <c:v>572669.76725046954</c:v>
                </c:pt>
                <c:pt idx="14">
                  <c:v>577581.57743241463</c:v>
                </c:pt>
                <c:pt idx="15">
                  <c:v>582493.38761435985</c:v>
                </c:pt>
                <c:pt idx="16">
                  <c:v>587405.19779630494</c:v>
                </c:pt>
                <c:pt idx="17">
                  <c:v>572316.05019096693</c:v>
                </c:pt>
              </c:numCache>
            </c:numRef>
          </c:yVal>
        </c:ser>
        <c:ser>
          <c:idx val="4"/>
          <c:order val="2"/>
          <c:tx>
            <c:strRef>
              <c:f>TransportEE!$B$66</c:f>
              <c:strCache>
                <c:ptCount val="1"/>
                <c:pt idx="0">
                  <c:v>Võrdlus BAU aktsiisi ja maksutuluga</c:v>
                </c:pt>
              </c:strCache>
            </c:strRef>
          </c:tx>
          <c:marker>
            <c:symbol val="none"/>
          </c:marker>
          <c:xVal>
            <c:numRef>
              <c:f>TransportEE!$D$4:$U$4</c:f>
              <c:numCache>
                <c:formatCode>General</c:formatCode>
                <c:ptCount val="1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</c:numCache>
            </c:numRef>
          </c:xVal>
          <c:yVal>
            <c:numRef>
              <c:f>TransportEE!$D$66:$U$66</c:f>
              <c:numCache>
                <c:formatCode>#,##0</c:formatCode>
                <c:ptCount val="18"/>
                <c:pt idx="1">
                  <c:v>1129444.8061100517</c:v>
                </c:pt>
                <c:pt idx="2">
                  <c:v>1123245.7777256412</c:v>
                </c:pt>
                <c:pt idx="3">
                  <c:v>1117046.7493412304</c:v>
                </c:pt>
                <c:pt idx="4">
                  <c:v>1110847.7209568198</c:v>
                </c:pt>
                <c:pt idx="5">
                  <c:v>1104648.6925724091</c:v>
                </c:pt>
                <c:pt idx="6">
                  <c:v>1098449.6641879985</c:v>
                </c:pt>
                <c:pt idx="7">
                  <c:v>1095210.4258706865</c:v>
                </c:pt>
                <c:pt idx="8">
                  <c:v>1091971.1875533746</c:v>
                </c:pt>
                <c:pt idx="9">
                  <c:v>1088731.9492360628</c:v>
                </c:pt>
                <c:pt idx="10">
                  <c:v>1085492.7109187508</c:v>
                </c:pt>
                <c:pt idx="11">
                  <c:v>1082253.4726014389</c:v>
                </c:pt>
                <c:pt idx="12">
                  <c:v>1079014.2342841269</c:v>
                </c:pt>
                <c:pt idx="13">
                  <c:v>1075774.9959668152</c:v>
                </c:pt>
                <c:pt idx="14">
                  <c:v>1072535.7576495032</c:v>
                </c:pt>
                <c:pt idx="15">
                  <c:v>1069296.5193321914</c:v>
                </c:pt>
                <c:pt idx="16">
                  <c:v>1066057.2810148795</c:v>
                </c:pt>
                <c:pt idx="17">
                  <c:v>954751.24845890654</c:v>
                </c:pt>
              </c:numCache>
            </c:numRef>
          </c:yVal>
        </c:ser>
        <c:axId val="76868224"/>
        <c:axId val="77410688"/>
      </c:scatterChart>
      <c:valAx>
        <c:axId val="76868224"/>
        <c:scaling>
          <c:orientation val="minMax"/>
        </c:scaling>
        <c:axPos val="b"/>
        <c:numFmt formatCode="General" sourceLinked="1"/>
        <c:tickLblPos val="nextTo"/>
        <c:crossAx val="77410688"/>
        <c:crosses val="autoZero"/>
        <c:crossBetween val="midCat"/>
      </c:valAx>
      <c:valAx>
        <c:axId val="77410688"/>
        <c:scaling>
          <c:orientation val="minMax"/>
        </c:scaling>
        <c:axPos val="l"/>
        <c:majorGridlines/>
        <c:numFmt formatCode="0.0" sourceLinked="1"/>
        <c:tickLblPos val="nextTo"/>
        <c:crossAx val="7686822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488" r="0.7500000000000048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style val="18"/>
  <c:chart>
    <c:title>
      <c:layout>
        <c:manualLayout>
          <c:xMode val="edge"/>
          <c:yMode val="edge"/>
          <c:x val="0.11103225806451611"/>
          <c:y val="1.3015184381778703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TransportEE!$B$25</c:f>
              <c:strCache>
                <c:ptCount val="1"/>
                <c:pt idx="0">
                  <c:v>Aktsiis kütustelt + NB! Aktsiisimäärasid EE stsenaariumis inflatsiooni võrra ei tõsteta</c:v>
                </c:pt>
              </c:strCache>
            </c:strRef>
          </c:tx>
          <c:marker>
            <c:symbol val="none"/>
          </c:marker>
          <c:xVal>
            <c:numRef>
              <c:f>TransportEE!$D$4:$X$4</c:f>
              <c:numCache>
                <c:formatCode>General</c:formatCode>
                <c:ptCount val="21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xVal>
          <c:yVal>
            <c:numRef>
              <c:f>TransportEE!$D$25:$X$25</c:f>
              <c:numCache>
                <c:formatCode>#,##0</c:formatCode>
                <c:ptCount val="21"/>
                <c:pt idx="0">
                  <c:v>328754.11424651969</c:v>
                </c:pt>
                <c:pt idx="1">
                  <c:v>357868.18092902761</c:v>
                </c:pt>
                <c:pt idx="2">
                  <c:v>352051.96393859276</c:v>
                </c:pt>
                <c:pt idx="3">
                  <c:v>346235.74694815796</c:v>
                </c:pt>
                <c:pt idx="4">
                  <c:v>340419.52995772311</c:v>
                </c:pt>
                <c:pt idx="5">
                  <c:v>334603.31296728831</c:v>
                </c:pt>
                <c:pt idx="6">
                  <c:v>328787.09597685345</c:v>
                </c:pt>
                <c:pt idx="7">
                  <c:v>321248.90615879861</c:v>
                </c:pt>
                <c:pt idx="8">
                  <c:v>313710.71634074376</c:v>
                </c:pt>
                <c:pt idx="9">
                  <c:v>306172.52652268892</c:v>
                </c:pt>
                <c:pt idx="10">
                  <c:v>298634.33670463407</c:v>
                </c:pt>
                <c:pt idx="11">
                  <c:v>291096.14688657923</c:v>
                </c:pt>
                <c:pt idx="12">
                  <c:v>283557.95706852438</c:v>
                </c:pt>
                <c:pt idx="13">
                  <c:v>276019.76725046954</c:v>
                </c:pt>
                <c:pt idx="14">
                  <c:v>268481.57743241463</c:v>
                </c:pt>
                <c:pt idx="15">
                  <c:v>260943.38761435979</c:v>
                </c:pt>
                <c:pt idx="16">
                  <c:v>253405.19779630494</c:v>
                </c:pt>
                <c:pt idx="17">
                  <c:v>213266.05019096695</c:v>
                </c:pt>
                <c:pt idx="18">
                  <c:v>173126.90258562897</c:v>
                </c:pt>
                <c:pt idx="19">
                  <c:v>153057.32878295999</c:v>
                </c:pt>
                <c:pt idx="20">
                  <c:v>92848.607374953004</c:v>
                </c:pt>
              </c:numCache>
            </c:numRef>
          </c:yVal>
        </c:ser>
        <c:axId val="77439744"/>
        <c:axId val="77441280"/>
      </c:scatterChart>
      <c:valAx>
        <c:axId val="77439744"/>
        <c:scaling>
          <c:orientation val="minMax"/>
        </c:scaling>
        <c:axPos val="b"/>
        <c:numFmt formatCode="General" sourceLinked="1"/>
        <c:tickLblPos val="nextTo"/>
        <c:crossAx val="77441280"/>
        <c:crosses val="autoZero"/>
        <c:crossBetween val="midCat"/>
      </c:valAx>
      <c:valAx>
        <c:axId val="77441280"/>
        <c:scaling>
          <c:orientation val="minMax"/>
        </c:scaling>
        <c:axPos val="l"/>
        <c:majorGridlines/>
        <c:numFmt formatCode="#,##0" sourceLinked="1"/>
        <c:tickLblPos val="nextTo"/>
        <c:crossAx val="7743974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488" r="0.750000000000004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238125</xdr:colOff>
      <xdr:row>1</xdr:row>
      <xdr:rowOff>104775</xdr:rowOff>
    </xdr:from>
    <xdr:to>
      <xdr:col>43</xdr:col>
      <xdr:colOff>85725</xdr:colOff>
      <xdr:row>16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279406</xdr:colOff>
      <xdr:row>60</xdr:row>
      <xdr:rowOff>292106</xdr:rowOff>
    </xdr:from>
    <xdr:to>
      <xdr:col>34</xdr:col>
      <xdr:colOff>85725</xdr:colOff>
      <xdr:row>75</xdr:row>
      <xdr:rowOff>120656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498475</xdr:colOff>
      <xdr:row>15</xdr:row>
      <xdr:rowOff>174625</xdr:rowOff>
    </xdr:from>
    <xdr:to>
      <xdr:col>37</xdr:col>
      <xdr:colOff>342900</xdr:colOff>
      <xdr:row>35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11</xdr:row>
      <xdr:rowOff>6350</xdr:rowOff>
    </xdr:from>
    <xdr:to>
      <xdr:col>8</xdr:col>
      <xdr:colOff>419100</xdr:colOff>
      <xdr:row>23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13806</xdr:colOff>
      <xdr:row>36</xdr:row>
      <xdr:rowOff>552</xdr:rowOff>
    </xdr:from>
    <xdr:to>
      <xdr:col>25</xdr:col>
      <xdr:colOff>411371</xdr:colOff>
      <xdr:row>52</xdr:row>
      <xdr:rowOff>127001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77303</xdr:colOff>
      <xdr:row>51</xdr:row>
      <xdr:rowOff>80615</xdr:rowOff>
    </xdr:from>
    <xdr:to>
      <xdr:col>23</xdr:col>
      <xdr:colOff>607390</xdr:colOff>
      <xdr:row>68</xdr:row>
      <xdr:rowOff>151294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38653</xdr:colOff>
      <xdr:row>109</xdr:row>
      <xdr:rowOff>11044</xdr:rowOff>
    </xdr:from>
    <xdr:to>
      <xdr:col>16</xdr:col>
      <xdr:colOff>209826</xdr:colOff>
      <xdr:row>127</xdr:row>
      <xdr:rowOff>154609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60740</xdr:colOff>
      <xdr:row>89</xdr:row>
      <xdr:rowOff>66261</xdr:rowOff>
    </xdr:from>
    <xdr:to>
      <xdr:col>16</xdr:col>
      <xdr:colOff>325783</xdr:colOff>
      <xdr:row>108</xdr:row>
      <xdr:rowOff>143565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16565</xdr:colOff>
      <xdr:row>128</xdr:row>
      <xdr:rowOff>0</xdr:rowOff>
    </xdr:from>
    <xdr:to>
      <xdr:col>16</xdr:col>
      <xdr:colOff>281608</xdr:colOff>
      <xdr:row>148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121479</xdr:colOff>
      <xdr:row>149</xdr:row>
      <xdr:rowOff>97183</xdr:rowOff>
    </xdr:from>
    <xdr:to>
      <xdr:col>11</xdr:col>
      <xdr:colOff>618435</xdr:colOff>
      <xdr:row>158</xdr:row>
      <xdr:rowOff>99391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44450</xdr:colOff>
      <xdr:row>12</xdr:row>
      <xdr:rowOff>133350</xdr:rowOff>
    </xdr:from>
    <xdr:to>
      <xdr:col>17</xdr:col>
      <xdr:colOff>127000</xdr:colOff>
      <xdr:row>32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82550</xdr:colOff>
      <xdr:row>31</xdr:row>
      <xdr:rowOff>120650</xdr:rowOff>
    </xdr:from>
    <xdr:to>
      <xdr:col>17</xdr:col>
      <xdr:colOff>101600</xdr:colOff>
      <xdr:row>45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82550</xdr:colOff>
      <xdr:row>45</xdr:row>
      <xdr:rowOff>133350</xdr:rowOff>
    </xdr:from>
    <xdr:to>
      <xdr:col>17</xdr:col>
      <xdr:colOff>50800</xdr:colOff>
      <xdr:row>62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228601</xdr:colOff>
      <xdr:row>72</xdr:row>
      <xdr:rowOff>130181</xdr:rowOff>
    </xdr:from>
    <xdr:to>
      <xdr:col>35</xdr:col>
      <xdr:colOff>581025</xdr:colOff>
      <xdr:row>88</xdr:row>
      <xdr:rowOff>6356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485775</xdr:colOff>
      <xdr:row>4</xdr:row>
      <xdr:rowOff>114300</xdr:rowOff>
    </xdr:from>
    <xdr:to>
      <xdr:col>38</xdr:col>
      <xdr:colOff>200025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25400</xdr:colOff>
      <xdr:row>37</xdr:row>
      <xdr:rowOff>156634</xdr:rowOff>
    </xdr:from>
    <xdr:to>
      <xdr:col>26</xdr:col>
      <xdr:colOff>279400</xdr:colOff>
      <xdr:row>57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428625</xdr:colOff>
      <xdr:row>0</xdr:row>
      <xdr:rowOff>0</xdr:rowOff>
    </xdr:from>
    <xdr:to>
      <xdr:col>40</xdr:col>
      <xdr:colOff>276225</xdr:colOff>
      <xdr:row>15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504831</xdr:colOff>
      <xdr:row>66</xdr:row>
      <xdr:rowOff>3181</xdr:rowOff>
    </xdr:from>
    <xdr:to>
      <xdr:col>34</xdr:col>
      <xdr:colOff>6350</xdr:colOff>
      <xdr:row>83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387356</xdr:colOff>
      <xdr:row>17</xdr:row>
      <xdr:rowOff>28581</xdr:rowOff>
    </xdr:from>
    <xdr:to>
      <xdr:col>38</xdr:col>
      <xdr:colOff>190506</xdr:colOff>
      <xdr:row>32</xdr:row>
      <xdr:rowOff>79381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367241</xdr:colOff>
      <xdr:row>51</xdr:row>
      <xdr:rowOff>150283</xdr:rowOff>
    </xdr:from>
    <xdr:to>
      <xdr:col>43</xdr:col>
      <xdr:colOff>183092</xdr:colOff>
      <xdr:row>74</xdr:row>
      <xdr:rowOff>144992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266699</xdr:colOff>
      <xdr:row>16</xdr:row>
      <xdr:rowOff>47625</xdr:rowOff>
    </xdr:from>
    <xdr:to>
      <xdr:col>30</xdr:col>
      <xdr:colOff>57149</xdr:colOff>
      <xdr:row>32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597695</xdr:colOff>
      <xdr:row>16</xdr:row>
      <xdr:rowOff>133350</xdr:rowOff>
    </xdr:from>
    <xdr:to>
      <xdr:col>32</xdr:col>
      <xdr:colOff>28575</xdr:colOff>
      <xdr:row>30</xdr:row>
      <xdr:rowOff>66676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687068</xdr:colOff>
      <xdr:row>21</xdr:row>
      <xdr:rowOff>66041</xdr:rowOff>
    </xdr:from>
    <xdr:to>
      <xdr:col>16</xdr:col>
      <xdr:colOff>153669</xdr:colOff>
      <xdr:row>45</xdr:row>
      <xdr:rowOff>121285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624840</xdr:colOff>
      <xdr:row>2</xdr:row>
      <xdr:rowOff>43186</xdr:rowOff>
    </xdr:from>
    <xdr:to>
      <xdr:col>14</xdr:col>
      <xdr:colOff>502920</xdr:colOff>
      <xdr:row>10</xdr:row>
      <xdr:rowOff>43186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14</xdr:row>
      <xdr:rowOff>142875</xdr:rowOff>
    </xdr:from>
    <xdr:to>
      <xdr:col>16</xdr:col>
      <xdr:colOff>439420</xdr:colOff>
      <xdr:row>26</xdr:row>
      <xdr:rowOff>226060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45720</xdr:colOff>
      <xdr:row>39</xdr:row>
      <xdr:rowOff>287026</xdr:rowOff>
    </xdr:from>
    <xdr:to>
      <xdr:col>14</xdr:col>
      <xdr:colOff>594360</xdr:colOff>
      <xdr:row>47</xdr:row>
      <xdr:rowOff>93986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20320</xdr:colOff>
      <xdr:row>48</xdr:row>
      <xdr:rowOff>22866</xdr:rowOff>
    </xdr:from>
    <xdr:to>
      <xdr:col>14</xdr:col>
      <xdr:colOff>665480</xdr:colOff>
      <xdr:row>64</xdr:row>
      <xdr:rowOff>73666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20320</xdr:colOff>
      <xdr:row>65</xdr:row>
      <xdr:rowOff>205746</xdr:rowOff>
    </xdr:from>
    <xdr:to>
      <xdr:col>14</xdr:col>
      <xdr:colOff>665480</xdr:colOff>
      <xdr:row>83</xdr:row>
      <xdr:rowOff>73666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161923</xdr:colOff>
      <xdr:row>10</xdr:row>
      <xdr:rowOff>66676</xdr:rowOff>
    </xdr:from>
    <xdr:to>
      <xdr:col>15</xdr:col>
      <xdr:colOff>390524</xdr:colOff>
      <xdr:row>31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174623</xdr:colOff>
      <xdr:row>32</xdr:row>
      <xdr:rowOff>155576</xdr:rowOff>
    </xdr:from>
    <xdr:to>
      <xdr:col>16</xdr:col>
      <xdr:colOff>276225</xdr:colOff>
      <xdr:row>59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348962</xdr:colOff>
      <xdr:row>9</xdr:row>
      <xdr:rowOff>112569</xdr:rowOff>
    </xdr:from>
    <xdr:to>
      <xdr:col>23</xdr:col>
      <xdr:colOff>43295</xdr:colOff>
      <xdr:row>42</xdr:row>
      <xdr:rowOff>114302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2966720</xdr:colOff>
      <xdr:row>36</xdr:row>
      <xdr:rowOff>7625</xdr:rowOff>
    </xdr:from>
    <xdr:to>
      <xdr:col>12</xdr:col>
      <xdr:colOff>213360</xdr:colOff>
      <xdr:row>50</xdr:row>
      <xdr:rowOff>48265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127000</xdr:colOff>
      <xdr:row>0</xdr:row>
      <xdr:rowOff>91445</xdr:rowOff>
    </xdr:from>
    <xdr:to>
      <xdr:col>17</xdr:col>
      <xdr:colOff>254000</xdr:colOff>
      <xdr:row>14</xdr:row>
      <xdr:rowOff>132085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88900</xdr:colOff>
      <xdr:row>15</xdr:row>
      <xdr:rowOff>40645</xdr:rowOff>
    </xdr:from>
    <xdr:to>
      <xdr:col>17</xdr:col>
      <xdr:colOff>215900</xdr:colOff>
      <xdr:row>29</xdr:row>
      <xdr:rowOff>81285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17</xdr:col>
      <xdr:colOff>741680</xdr:colOff>
      <xdr:row>26</xdr:row>
      <xdr:rowOff>5080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UusSTREAM%20FlowModel%20RefScen2050_1002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ENMAK_wo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STREAM%20FlowModel%20RefScen2030%20-%20Elering%20v2%20(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Uus_STREAM%20FlowModel%20RefScen2030v_1002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Uus_Stream2020_1002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ENMAK%20work-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.SEIT/AppData/Local/Microsoft/Windows/Temporary%20Internet%20Files/Content.Outlook/OGSFK8MQ/STREAM%20FlowModel%20RefScen2020%20-%20Elering%20v8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tegevused_nummerdatudKulude_Kaaludeg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ENMAK_arvutused270214_maksumuste_tabelViga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anus/AppData/Local/Microsoft/Windows/INetCache/Content.Outlook/DBI71NU1/ENMAK_arvutused100214_2030_ku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B_EE"/>
      <sheetName val="Transport50VS"/>
      <sheetName val="Transport50vana"/>
      <sheetName val="Transport50VSvana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  <sheetName val="UusSTREAM FlowModel RefScen2050"/>
    </sheetNames>
    <sheetDataSet>
      <sheetData sheetId="0"/>
      <sheetData sheetId="1"/>
      <sheetData sheetId="2"/>
      <sheetData sheetId="3"/>
      <sheetData sheetId="4">
        <row r="7">
          <cell r="B7" t="str">
            <v>Base</v>
          </cell>
        </row>
        <row r="9">
          <cell r="B9" t="str">
            <v>EE50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C56">
            <v>18649.799601428127</v>
          </cell>
          <cell r="D56">
            <v>0.05</v>
          </cell>
          <cell r="E56">
            <v>0.49</v>
          </cell>
          <cell r="F56">
            <v>0.33999999999999997</v>
          </cell>
          <cell r="G56">
            <v>0.04</v>
          </cell>
          <cell r="H56">
            <v>0.05</v>
          </cell>
          <cell r="J56">
            <v>0.03</v>
          </cell>
          <cell r="L56">
            <v>0</v>
          </cell>
          <cell r="M56">
            <v>1</v>
          </cell>
          <cell r="Q56">
            <v>7561.3362631333412</v>
          </cell>
          <cell r="R56">
            <v>0.25</v>
          </cell>
          <cell r="S56">
            <v>0.17</v>
          </cell>
          <cell r="T56">
            <v>0.17999999999999994</v>
          </cell>
          <cell r="U56">
            <v>0.1</v>
          </cell>
          <cell r="V56">
            <v>0.05</v>
          </cell>
          <cell r="X56">
            <v>0</v>
          </cell>
          <cell r="Z56">
            <v>0.25</v>
          </cell>
          <cell r="AA56">
            <v>1</v>
          </cell>
        </row>
        <row r="57">
          <cell r="C57">
            <v>991.94677664276583</v>
          </cell>
          <cell r="D57">
            <v>0.1</v>
          </cell>
          <cell r="E57">
            <v>0</v>
          </cell>
          <cell r="F57">
            <v>0.73</v>
          </cell>
          <cell r="G57">
            <v>0.1</v>
          </cell>
          <cell r="H57">
            <v>0</v>
          </cell>
          <cell r="J57">
            <v>7.0000000000000007E-2</v>
          </cell>
          <cell r="L57">
            <v>0</v>
          </cell>
          <cell r="M57">
            <v>1</v>
          </cell>
          <cell r="Q57">
            <v>515.52726481043624</v>
          </cell>
          <cell r="R57">
            <v>0.35</v>
          </cell>
          <cell r="S57">
            <v>0</v>
          </cell>
          <cell r="T57">
            <v>0</v>
          </cell>
          <cell r="U57">
            <v>0.2</v>
          </cell>
          <cell r="V57">
            <v>0</v>
          </cell>
          <cell r="X57">
            <v>0</v>
          </cell>
          <cell r="Z57">
            <v>0.45</v>
          </cell>
          <cell r="AA57">
            <v>1</v>
          </cell>
        </row>
        <row r="58">
          <cell r="C58">
            <v>461.15756115976114</v>
          </cell>
          <cell r="D58">
            <v>0.75</v>
          </cell>
          <cell r="E58">
            <v>0</v>
          </cell>
          <cell r="F58">
            <v>9.9999999999999978E-2</v>
          </cell>
          <cell r="G58">
            <v>0</v>
          </cell>
          <cell r="H58">
            <v>0</v>
          </cell>
          <cell r="J58">
            <v>0.15</v>
          </cell>
          <cell r="L58">
            <v>0</v>
          </cell>
          <cell r="M58">
            <v>1</v>
          </cell>
          <cell r="Q58">
            <v>724.82637585466875</v>
          </cell>
          <cell r="R58">
            <v>0.85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Z58">
            <v>0.15</v>
          </cell>
          <cell r="AA58">
            <v>1</v>
          </cell>
        </row>
        <row r="59">
          <cell r="C59">
            <v>401.73745435145656</v>
          </cell>
          <cell r="D59">
            <v>0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J59">
            <v>0</v>
          </cell>
          <cell r="L59">
            <v>0</v>
          </cell>
          <cell r="M59">
            <v>1</v>
          </cell>
          <cell r="Q59">
            <v>363.54356669922862</v>
          </cell>
          <cell r="R59">
            <v>0</v>
          </cell>
          <cell r="S59">
            <v>0</v>
          </cell>
          <cell r="T59">
            <v>0.5</v>
          </cell>
          <cell r="U59">
            <v>0.2</v>
          </cell>
          <cell r="V59">
            <v>0</v>
          </cell>
          <cell r="X59">
            <v>0</v>
          </cell>
          <cell r="Z59">
            <v>0.3</v>
          </cell>
          <cell r="AA59">
            <v>1</v>
          </cell>
        </row>
        <row r="60">
          <cell r="C60">
            <v>20504.641393582111</v>
          </cell>
          <cell r="D60">
            <v>608.37189371664476</v>
          </cell>
          <cell r="E60">
            <v>9608.7679907714046</v>
          </cell>
          <cell r="F60">
            <v>7659.5431763048964</v>
          </cell>
          <cell r="G60">
            <v>891.70972983281979</v>
          </cell>
          <cell r="H60">
            <v>980.48652967055182</v>
          </cell>
          <cell r="J60">
            <v>755.76207328579028</v>
          </cell>
          <cell r="L60">
            <v>0</v>
          </cell>
          <cell r="M60">
            <v>20504.641393582104</v>
          </cell>
          <cell r="Q60">
            <v>9165.2334704976747</v>
          </cell>
          <cell r="R60">
            <v>1558.1399549775169</v>
          </cell>
          <cell r="S60">
            <v>1504.1724661790395</v>
          </cell>
          <cell r="T60">
            <v>1712.2231020082411</v>
          </cell>
          <cell r="U60">
            <v>1107.0411405825498</v>
          </cell>
          <cell r="V60">
            <v>442.40366652324684</v>
          </cell>
          <cell r="X60">
            <v>0</v>
          </cell>
          <cell r="Z60">
            <v>2841.2531402270811</v>
          </cell>
          <cell r="AA60">
            <v>9165.2334704976747</v>
          </cell>
        </row>
        <row r="61">
          <cell r="C61">
            <v>0</v>
          </cell>
          <cell r="D61" t="str">
            <v>Electricity</v>
          </cell>
          <cell r="E61" t="str">
            <v>Gasoline</v>
          </cell>
          <cell r="F61" t="str">
            <v>Diesel</v>
          </cell>
          <cell r="G61" t="str">
            <v>Natural gas</v>
          </cell>
          <cell r="H61" t="str">
            <v>Ethanol</v>
          </cell>
          <cell r="J61" t="str">
            <v>Biodiesel</v>
          </cell>
          <cell r="L61" t="str">
            <v>Biogas</v>
          </cell>
          <cell r="M61" t="str">
            <v>Total</v>
          </cell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C62" t="str">
            <v>TJ</v>
          </cell>
          <cell r="D62" t="str">
            <v>%</v>
          </cell>
          <cell r="E62" t="str">
            <v>%</v>
          </cell>
          <cell r="F62" t="str">
            <v>%</v>
          </cell>
          <cell r="G62" t="str">
            <v>%</v>
          </cell>
          <cell r="H62" t="str">
            <v>%</v>
          </cell>
          <cell r="J62" t="str">
            <v>%</v>
          </cell>
          <cell r="L62" t="str">
            <v>%</v>
          </cell>
          <cell r="M62" t="str">
            <v>%</v>
          </cell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C63">
            <v>17496.600458235265</v>
          </cell>
          <cell r="D63">
            <v>0.02</v>
          </cell>
          <cell r="E63">
            <v>0</v>
          </cell>
          <cell r="F63">
            <v>0.85</v>
          </cell>
          <cell r="G63">
            <v>0.05</v>
          </cell>
          <cell r="H63">
            <v>0</v>
          </cell>
          <cell r="J63">
            <v>0.08</v>
          </cell>
          <cell r="L63">
            <v>0</v>
          </cell>
          <cell r="M63">
            <v>1</v>
          </cell>
          <cell r="Q63">
            <v>5105.3207919513525</v>
          </cell>
          <cell r="R63">
            <v>0.1</v>
          </cell>
          <cell r="S63">
            <v>0</v>
          </cell>
          <cell r="T63">
            <v>0.5</v>
          </cell>
          <cell r="U63">
            <v>0.1</v>
          </cell>
          <cell r="V63">
            <v>0</v>
          </cell>
          <cell r="X63">
            <v>0</v>
          </cell>
          <cell r="Z63">
            <v>0.3</v>
          </cell>
          <cell r="AA63">
            <v>1</v>
          </cell>
        </row>
        <row r="64">
          <cell r="C64">
            <v>1085.7843682015807</v>
          </cell>
          <cell r="D64">
            <v>0.3</v>
          </cell>
          <cell r="E64">
            <v>0</v>
          </cell>
          <cell r="F64">
            <v>0.7</v>
          </cell>
          <cell r="G64">
            <v>0</v>
          </cell>
          <cell r="H64">
            <v>0</v>
          </cell>
          <cell r="J64">
            <v>0</v>
          </cell>
          <cell r="L64">
            <v>0</v>
          </cell>
          <cell r="M64">
            <v>1</v>
          </cell>
          <cell r="Q64">
            <v>1008.4589687611942</v>
          </cell>
          <cell r="R64">
            <v>0.5</v>
          </cell>
          <cell r="S64">
            <v>0</v>
          </cell>
          <cell r="T64">
            <v>0.19999999999999996</v>
          </cell>
          <cell r="U64">
            <v>0</v>
          </cell>
          <cell r="V64">
            <v>0</v>
          </cell>
          <cell r="X64">
            <v>0</v>
          </cell>
          <cell r="Z64">
            <v>0.3</v>
          </cell>
          <cell r="AA64">
            <v>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M65">
            <v>1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M66">
            <v>1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C67">
            <v>18582.384826436846</v>
          </cell>
          <cell r="D67">
            <v>328.28518670988808</v>
          </cell>
          <cell r="E67">
            <v>0</v>
          </cell>
          <cell r="F67">
            <v>15877.113542445297</v>
          </cell>
          <cell r="G67">
            <v>968.40174333697269</v>
          </cell>
          <cell r="H67">
            <v>0</v>
          </cell>
          <cell r="J67">
            <v>1408.5843539446871</v>
          </cell>
          <cell r="L67">
            <v>0</v>
          </cell>
          <cell r="M67">
            <v>18582.384826436846</v>
          </cell>
          <cell r="Q67">
            <v>6113.7797607125467</v>
          </cell>
          <cell r="R67">
            <v>578.18787705571106</v>
          </cell>
          <cell r="S67">
            <v>0</v>
          </cell>
          <cell r="T67">
            <v>2854.3321797041922</v>
          </cell>
          <cell r="U67">
            <v>567.82658779484109</v>
          </cell>
          <cell r="V67">
            <v>0</v>
          </cell>
          <cell r="X67">
            <v>0</v>
          </cell>
          <cell r="Z67">
            <v>2113.4331161578039</v>
          </cell>
          <cell r="AA67">
            <v>6113.7797607125485</v>
          </cell>
        </row>
        <row r="68">
          <cell r="C68">
            <v>0</v>
          </cell>
          <cell r="D68" t="str">
            <v>Electricity</v>
          </cell>
          <cell r="E68" t="str">
            <v>Gasoline</v>
          </cell>
          <cell r="F68" t="str">
            <v>Diesel</v>
          </cell>
          <cell r="G68" t="str">
            <v>Natural gas</v>
          </cell>
          <cell r="H68" t="str">
            <v>Ethanol</v>
          </cell>
          <cell r="J68" t="str">
            <v>Biodiesel</v>
          </cell>
          <cell r="L68" t="str">
            <v>Biogas</v>
          </cell>
          <cell r="M68" t="str">
            <v>Total</v>
          </cell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C69" t="str">
            <v>TJ</v>
          </cell>
          <cell r="D69" t="str">
            <v>%</v>
          </cell>
          <cell r="E69" t="str">
            <v>%</v>
          </cell>
          <cell r="F69" t="str">
            <v>%</v>
          </cell>
          <cell r="G69" t="str">
            <v>%</v>
          </cell>
          <cell r="H69" t="str">
            <v>%</v>
          </cell>
          <cell r="J69" t="str">
            <v>%</v>
          </cell>
          <cell r="L69">
            <v>0</v>
          </cell>
          <cell r="M69" t="str">
            <v>%</v>
          </cell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C70">
            <v>39087.026220018961</v>
          </cell>
          <cell r="D70">
            <v>5.2529454061642021E-2</v>
          </cell>
          <cell r="E70">
            <v>0.23379629223415885</v>
          </cell>
          <cell r="F70">
            <v>0.5921418922703624</v>
          </cell>
          <cell r="G70">
            <v>4.4004797779991625E-2</v>
          </cell>
          <cell r="H70">
            <v>2.385676451368968E-2</v>
          </cell>
          <cell r="J70">
            <v>5.3670799140155337E-2</v>
          </cell>
          <cell r="L70">
            <v>0</v>
          </cell>
          <cell r="M70">
            <v>1</v>
          </cell>
          <cell r="Q70">
            <v>15279.013231210221</v>
          </cell>
          <cell r="R70">
            <v>0.24226908737521852</v>
          </cell>
          <cell r="S70">
            <v>8.4130247502302344E-2</v>
          </cell>
          <cell r="T70">
            <v>0.28124620585207522</v>
          </cell>
          <cell r="U70">
            <v>9.4409229835855465E-2</v>
          </cell>
          <cell r="V70">
            <v>2.4744190441853629E-2</v>
          </cell>
          <cell r="X70">
            <v>0</v>
          </cell>
          <cell r="Z70">
            <v>0.27320103899269488</v>
          </cell>
          <cell r="AA70">
            <v>1</v>
          </cell>
        </row>
        <row r="71">
          <cell r="C71">
            <v>0</v>
          </cell>
          <cell r="D71">
            <v>936.65708042653284</v>
          </cell>
          <cell r="E71">
            <v>9608.7679907714046</v>
          </cell>
          <cell r="F71">
            <v>23536.656718750193</v>
          </cell>
          <cell r="G71">
            <v>1860.1114731697926</v>
          </cell>
          <cell r="H71">
            <v>980.48652967055182</v>
          </cell>
          <cell r="J71">
            <v>2164.3464272304773</v>
          </cell>
          <cell r="L71">
            <v>0</v>
          </cell>
          <cell r="M71">
            <v>39087.026220018946</v>
          </cell>
          <cell r="Q71">
            <v>0</v>
          </cell>
          <cell r="R71">
            <v>2136.3278320332279</v>
          </cell>
          <cell r="S71">
            <v>1504.1724661790395</v>
          </cell>
          <cell r="T71">
            <v>4566.5552817124335</v>
          </cell>
          <cell r="U71">
            <v>1674.8677283773909</v>
          </cell>
          <cell r="V71">
            <v>442.40366652324684</v>
          </cell>
          <cell r="X71">
            <v>0</v>
          </cell>
          <cell r="Z71">
            <v>4954.6862563848845</v>
          </cell>
          <cell r="AA71">
            <v>15279.013231210223</v>
          </cell>
        </row>
      </sheetData>
      <sheetData sheetId="16">
        <row r="56">
          <cell r="Q56">
            <v>16082.217411235923</v>
          </cell>
          <cell r="R56">
            <v>7.0000000000000007E-2</v>
          </cell>
          <cell r="S56">
            <v>0.35</v>
          </cell>
          <cell r="T56">
            <v>0.35000000000000003</v>
          </cell>
          <cell r="U56">
            <v>0.06</v>
          </cell>
          <cell r="V56">
            <v>0.04</v>
          </cell>
          <cell r="X56">
            <v>0</v>
          </cell>
          <cell r="Z56">
            <v>0.13</v>
          </cell>
          <cell r="AA56">
            <v>1</v>
          </cell>
        </row>
        <row r="57">
          <cell r="Q57">
            <v>742.85725863573282</v>
          </cell>
          <cell r="R57">
            <v>0.25</v>
          </cell>
          <cell r="S57">
            <v>0</v>
          </cell>
          <cell r="T57">
            <v>0.15000000000000002</v>
          </cell>
          <cell r="U57">
            <v>0.15</v>
          </cell>
          <cell r="V57">
            <v>0</v>
          </cell>
          <cell r="X57">
            <v>0</v>
          </cell>
          <cell r="Z57">
            <v>0.45</v>
          </cell>
          <cell r="AA57">
            <v>1</v>
          </cell>
        </row>
        <row r="58">
          <cell r="Q58">
            <v>497.97958071154812</v>
          </cell>
          <cell r="R58">
            <v>0.85</v>
          </cell>
          <cell r="S58">
            <v>0</v>
          </cell>
          <cell r="T58">
            <v>0</v>
          </cell>
          <cell r="U58">
            <v>0.05</v>
          </cell>
          <cell r="V58">
            <v>0</v>
          </cell>
          <cell r="X58">
            <v>0</v>
          </cell>
          <cell r="Z58">
            <v>0.1</v>
          </cell>
          <cell r="AA58">
            <v>1</v>
          </cell>
        </row>
        <row r="59">
          <cell r="Q59">
            <v>381.65058163388369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X59">
            <v>0</v>
          </cell>
          <cell r="Z59">
            <v>0</v>
          </cell>
          <cell r="AA59">
            <v>1</v>
          </cell>
        </row>
        <row r="60">
          <cell r="Q60">
            <v>17704.704832217085</v>
          </cell>
          <cell r="R60">
            <v>830.18511270059753</v>
          </cell>
          <cell r="S60">
            <v>6073.0889819813938</v>
          </cell>
          <cell r="T60">
            <v>6125.1786395701447</v>
          </cell>
          <cell r="U60">
            <v>1223.9417599756375</v>
          </cell>
          <cell r="V60">
            <v>694.0673122264451</v>
          </cell>
          <cell r="X60">
            <v>0</v>
          </cell>
          <cell r="Z60">
            <v>2758.2430257628694</v>
          </cell>
          <cell r="AA60">
            <v>17704.704832217089</v>
          </cell>
        </row>
        <row r="61"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Q63">
            <v>15506.667363833441</v>
          </cell>
          <cell r="R63">
            <v>0.03</v>
          </cell>
          <cell r="S63">
            <v>0</v>
          </cell>
          <cell r="T63">
            <v>0.72</v>
          </cell>
          <cell r="U63">
            <v>0.1</v>
          </cell>
          <cell r="V63">
            <v>0</v>
          </cell>
          <cell r="X63">
            <v>0</v>
          </cell>
          <cell r="Z63">
            <v>0.15</v>
          </cell>
          <cell r="AA63">
            <v>1</v>
          </cell>
        </row>
        <row r="64">
          <cell r="Q64">
            <v>1127.4481869814088</v>
          </cell>
          <cell r="R64">
            <v>0.3</v>
          </cell>
          <cell r="S64">
            <v>0</v>
          </cell>
          <cell r="T64">
            <v>0.55000000000000004</v>
          </cell>
          <cell r="U64">
            <v>0</v>
          </cell>
          <cell r="V64">
            <v>0</v>
          </cell>
          <cell r="X64">
            <v>0</v>
          </cell>
          <cell r="Z64">
            <v>0.15</v>
          </cell>
          <cell r="AA64">
            <v>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Q67">
            <v>16634.115550814851</v>
          </cell>
          <cell r="R67">
            <v>384.85250256248418</v>
          </cell>
          <cell r="S67">
            <v>0</v>
          </cell>
          <cell r="T67">
            <v>11816.994887798999</v>
          </cell>
          <cell r="U67">
            <v>1691.833712340926</v>
          </cell>
          <cell r="V67">
            <v>0</v>
          </cell>
          <cell r="X67">
            <v>0</v>
          </cell>
          <cell r="Z67">
            <v>2740.434448112439</v>
          </cell>
          <cell r="AA67">
            <v>16634.115550814848</v>
          </cell>
        </row>
        <row r="68"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Q70">
            <v>34338.82038303194</v>
          </cell>
          <cell r="R70">
            <v>7.3915953598508E-2</v>
          </cell>
          <cell r="S70">
            <v>0.16391873777685023</v>
          </cell>
          <cell r="T70">
            <v>0.52147255116573676</v>
          </cell>
          <cell r="U70">
            <v>7.7228260007406971E-2</v>
          </cell>
          <cell r="V70">
            <v>1.8733570031640029E-2</v>
          </cell>
          <cell r="X70">
            <v>0</v>
          </cell>
          <cell r="Z70">
            <v>0.14473092741985785</v>
          </cell>
          <cell r="AA70">
            <v>0.99999999999999978</v>
          </cell>
        </row>
        <row r="71">
          <cell r="Q71">
            <v>0</v>
          </cell>
          <cell r="R71">
            <v>1215.0376152630818</v>
          </cell>
          <cell r="S71">
            <v>6073.0889819813938</v>
          </cell>
          <cell r="T71">
            <v>17942.173527369145</v>
          </cell>
          <cell r="U71">
            <v>2915.7754723165635</v>
          </cell>
          <cell r="V71">
            <v>694.0673122264451</v>
          </cell>
          <cell r="X71">
            <v>0</v>
          </cell>
          <cell r="Z71">
            <v>5498.6774738753084</v>
          </cell>
          <cell r="AA71">
            <v>34338.82038303194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U"/>
      <sheetName val="TAK"/>
      <sheetName val="EE"/>
      <sheetName val="STREAM"/>
      <sheetName val="Finants"/>
      <sheetName val="TAK-BAU"/>
      <sheetName val="EE-BAU"/>
      <sheetName val="Autod"/>
      <sheetName val="Raudtee"/>
      <sheetName val="kl tervisemõju"/>
    </sheetNames>
    <sheetDataSet>
      <sheetData sheetId="0">
        <row r="5">
          <cell r="E5">
            <v>755.511772170462</v>
          </cell>
          <cell r="F5">
            <v>739.17321924320606</v>
          </cell>
          <cell r="G5">
            <v>803.66257412477125</v>
          </cell>
          <cell r="H5">
            <v>818.64239823710579</v>
          </cell>
          <cell r="I5">
            <v>843.59591597592839</v>
          </cell>
          <cell r="J5">
            <v>841.76191320193038</v>
          </cell>
          <cell r="K5">
            <v>835.31935273562476</v>
          </cell>
          <cell r="L5">
            <v>838.57229226931929</v>
          </cell>
        </row>
        <row r="6">
          <cell r="E6">
            <v>99.736849093538822</v>
          </cell>
          <cell r="F6">
            <v>100.05695001243684</v>
          </cell>
          <cell r="G6">
            <v>107.46717797092518</v>
          </cell>
          <cell r="H6">
            <v>114.87740592941347</v>
          </cell>
          <cell r="I6">
            <v>117.84534546310783</v>
          </cell>
          <cell r="J6">
            <v>120.8132849968022</v>
          </cell>
          <cell r="K6">
            <v>123.78122453049656</v>
          </cell>
          <cell r="L6">
            <v>126.74916406419092</v>
          </cell>
        </row>
        <row r="7">
          <cell r="E7">
            <v>12.8</v>
          </cell>
          <cell r="F7">
            <v>14.601778667555065</v>
          </cell>
          <cell r="G7">
            <v>15.683187890128066</v>
          </cell>
          <cell r="H7">
            <v>16.764597112701065</v>
          </cell>
          <cell r="I7">
            <v>17.197722409487593</v>
          </cell>
          <cell r="J7">
            <v>17.630847706274125</v>
          </cell>
          <cell r="K7">
            <v>18.063973003060656</v>
          </cell>
          <cell r="L7">
            <v>18.497098299847185</v>
          </cell>
        </row>
        <row r="8">
          <cell r="E8">
            <v>70</v>
          </cell>
          <cell r="F8">
            <v>66.055665400844333</v>
          </cell>
          <cell r="G8">
            <v>70.947754741055533</v>
          </cell>
          <cell r="H8">
            <v>75.839844081266705</v>
          </cell>
          <cell r="I8">
            <v>77.799220423872427</v>
          </cell>
          <cell r="J8">
            <v>79.758596766478163</v>
          </cell>
          <cell r="K8">
            <v>81.7179731090839</v>
          </cell>
          <cell r="L8">
            <v>83.677349451689622</v>
          </cell>
        </row>
        <row r="9">
          <cell r="E9">
            <v>16.936849093538822</v>
          </cell>
          <cell r="F9">
            <v>19.399505944037443</v>
          </cell>
          <cell r="G9">
            <v>20.836235339741574</v>
          </cell>
          <cell r="H9">
            <v>22.272964735445701</v>
          </cell>
          <cell r="I9">
            <v>22.848402629747802</v>
          </cell>
          <cell r="J9">
            <v>23.423840524049908</v>
          </cell>
          <cell r="K9">
            <v>23.999278418352013</v>
          </cell>
          <cell r="L9">
            <v>24.574716312654115</v>
          </cell>
        </row>
        <row r="10">
          <cell r="E10">
            <v>0</v>
          </cell>
          <cell r="F10">
            <v>0</v>
          </cell>
          <cell r="G10">
            <v>26</v>
          </cell>
          <cell r="H10">
            <v>26</v>
          </cell>
          <cell r="I10">
            <v>26</v>
          </cell>
          <cell r="J10">
            <v>26</v>
          </cell>
          <cell r="K10">
            <v>26</v>
          </cell>
          <cell r="L10">
            <v>26</v>
          </cell>
        </row>
        <row r="11">
          <cell r="E11">
            <v>0</v>
          </cell>
          <cell r="F11">
            <v>0</v>
          </cell>
          <cell r="G11">
            <v>26</v>
          </cell>
          <cell r="H11">
            <v>26</v>
          </cell>
          <cell r="I11">
            <v>26</v>
          </cell>
          <cell r="J11">
            <v>26</v>
          </cell>
          <cell r="K11">
            <v>26</v>
          </cell>
          <cell r="L11">
            <v>26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655.77492307692319</v>
          </cell>
          <cell r="F13">
            <v>639.11626923076926</v>
          </cell>
          <cell r="G13">
            <v>670.1953961538461</v>
          </cell>
          <cell r="H13">
            <v>677.7649923076923</v>
          </cell>
          <cell r="I13">
            <v>699.75057051282056</v>
          </cell>
          <cell r="J13">
            <v>694.94862820512822</v>
          </cell>
          <cell r="K13">
            <v>685.53812820512826</v>
          </cell>
          <cell r="L13">
            <v>685.82312820512834</v>
          </cell>
        </row>
        <row r="14">
          <cell r="E14">
            <v>135.76530769230772</v>
          </cell>
          <cell r="F14">
            <v>146.1499230769231</v>
          </cell>
          <cell r="G14">
            <v>166.51991538461539</v>
          </cell>
          <cell r="H14">
            <v>177.22653076923078</v>
          </cell>
          <cell r="I14">
            <v>195.4260512820513</v>
          </cell>
          <cell r="J14">
            <v>202.06882051282051</v>
          </cell>
          <cell r="K14">
            <v>202.22082051282052</v>
          </cell>
          <cell r="L14">
            <v>202.50582051282055</v>
          </cell>
        </row>
        <row r="15">
          <cell r="E15">
            <v>271.38461538461542</v>
          </cell>
          <cell r="F15">
            <v>292.15384615384613</v>
          </cell>
          <cell r="G15">
            <v>326.76923076923077</v>
          </cell>
          <cell r="H15">
            <v>347.53846153846155</v>
          </cell>
          <cell r="I15">
            <v>375.23076923076928</v>
          </cell>
          <cell r="J15">
            <v>387.69230769230774</v>
          </cell>
          <cell r="K15">
            <v>387.69230769230774</v>
          </cell>
          <cell r="L15">
            <v>387.69230769230774</v>
          </cell>
        </row>
        <row r="16">
          <cell r="E16">
            <v>175.5</v>
          </cell>
          <cell r="F16">
            <v>141.75</v>
          </cell>
          <cell r="G16">
            <v>124.875</v>
          </cell>
          <cell r="H16">
            <v>108</v>
          </cell>
          <cell r="I16">
            <v>91.125</v>
          </cell>
          <cell r="J16">
            <v>74.25</v>
          </cell>
          <cell r="K16">
            <v>67.5</v>
          </cell>
          <cell r="L16">
            <v>67.5</v>
          </cell>
        </row>
        <row r="17">
          <cell r="E17">
            <v>73.125</v>
          </cell>
          <cell r="F17">
            <v>59.0625</v>
          </cell>
          <cell r="G17">
            <v>52.03125</v>
          </cell>
          <cell r="H17">
            <v>45</v>
          </cell>
          <cell r="I17">
            <v>37.96875</v>
          </cell>
          <cell r="J17">
            <v>30.9375</v>
          </cell>
          <cell r="K17">
            <v>28.125</v>
          </cell>
          <cell r="L17">
            <v>28.125</v>
          </cell>
        </row>
        <row r="18">
          <cell r="E18">
            <v>495.58050797364155</v>
          </cell>
          <cell r="F18">
            <v>552.24536713194027</v>
          </cell>
          <cell r="G18">
            <v>601.71662744519654</v>
          </cell>
          <cell r="H18">
            <v>642.959957649687</v>
          </cell>
          <cell r="I18">
            <v>663.23486768314353</v>
          </cell>
          <cell r="J18">
            <v>681.26509871660016</v>
          </cell>
          <cell r="K18">
            <v>695.80456235005681</v>
          </cell>
          <cell r="L18">
            <v>710.1138447835134</v>
          </cell>
        </row>
        <row r="19">
          <cell r="E19">
            <v>205.60527364030821</v>
          </cell>
          <cell r="F19">
            <v>206.68470042527346</v>
          </cell>
          <cell r="G19">
            <v>229.23359072390684</v>
          </cell>
          <cell r="H19">
            <v>251.78248102254022</v>
          </cell>
          <cell r="I19">
            <v>256.36589837583659</v>
          </cell>
          <cell r="J19">
            <v>260.94931572913299</v>
          </cell>
          <cell r="K19">
            <v>265.53273308242939</v>
          </cell>
          <cell r="L19">
            <v>270.11615043572579</v>
          </cell>
        </row>
        <row r="20">
          <cell r="E20">
            <v>161</v>
          </cell>
          <cell r="F20">
            <v>155.57847508883074</v>
          </cell>
          <cell r="G20">
            <v>174.34243310845864</v>
          </cell>
          <cell r="H20">
            <v>193.1063911280865</v>
          </cell>
          <cell r="I20">
            <v>196.17386994263003</v>
          </cell>
          <cell r="J20">
            <v>199.2413487571736</v>
          </cell>
          <cell r="K20">
            <v>202.3088275717171</v>
          </cell>
          <cell r="L20">
            <v>205.37630638626067</v>
          </cell>
        </row>
        <row r="21">
          <cell r="E21">
            <v>44.605273640308226</v>
          </cell>
          <cell r="F21">
            <v>51.106225336442719</v>
          </cell>
          <cell r="G21">
            <v>54.891157615448222</v>
          </cell>
          <cell r="H21">
            <v>58.676089894453717</v>
          </cell>
          <cell r="I21">
            <v>60.192028433206566</v>
          </cell>
          <cell r="J21">
            <v>61.707966971959422</v>
          </cell>
          <cell r="K21">
            <v>63.223905510712285</v>
          </cell>
          <cell r="L21">
            <v>64.739844049465134</v>
          </cell>
        </row>
        <row r="22">
          <cell r="E22">
            <v>17.567250000000001</v>
          </cell>
          <cell r="F22">
            <v>37.567250000000001</v>
          </cell>
          <cell r="G22">
            <v>40.975137934622964</v>
          </cell>
          <cell r="H22">
            <v>41.13049656048004</v>
          </cell>
          <cell r="I22">
            <v>41.425372173973585</v>
          </cell>
          <cell r="J22">
            <v>41.720247787467144</v>
          </cell>
          <cell r="K22">
            <v>42.01512340096069</v>
          </cell>
          <cell r="L22">
            <v>42.309999014454249</v>
          </cell>
        </row>
        <row r="23">
          <cell r="E23">
            <v>0</v>
          </cell>
          <cell r="F23">
            <v>0</v>
          </cell>
          <cell r="G23">
            <v>3.3</v>
          </cell>
          <cell r="H23">
            <v>3.3474706912341046</v>
          </cell>
          <cell r="I23">
            <v>3.4006449821919582</v>
          </cell>
          <cell r="J23">
            <v>3.4538192731498119</v>
          </cell>
          <cell r="K23">
            <v>3.5069935641076659</v>
          </cell>
          <cell r="L23">
            <v>3.56016785506552</v>
          </cell>
        </row>
        <row r="24">
          <cell r="E24">
            <v>15</v>
          </cell>
          <cell r="F24">
            <v>15</v>
          </cell>
          <cell r="G24">
            <v>15.107887934622964</v>
          </cell>
          <cell r="H24">
            <v>15.215775869245929</v>
          </cell>
          <cell r="I24">
            <v>15.45747719178163</v>
          </cell>
          <cell r="J24">
            <v>15.699178514317328</v>
          </cell>
          <cell r="K24">
            <v>15.940879836853027</v>
          </cell>
          <cell r="L24">
            <v>16.182581159388729</v>
          </cell>
        </row>
        <row r="25">
          <cell r="E25">
            <v>2.5672499999999996</v>
          </cell>
          <cell r="F25">
            <v>22.567250000000001</v>
          </cell>
          <cell r="G25">
            <v>22.567250000000001</v>
          </cell>
          <cell r="H25">
            <v>22.567250000000001</v>
          </cell>
          <cell r="I25">
            <v>22.567250000000001</v>
          </cell>
          <cell r="J25">
            <v>22.567250000000001</v>
          </cell>
          <cell r="K25">
            <v>22.567250000000001</v>
          </cell>
          <cell r="L25">
            <v>22.567250000000001</v>
          </cell>
        </row>
        <row r="26">
          <cell r="E26">
            <v>272.40798433333333</v>
          </cell>
          <cell r="F26">
            <v>307.99341670666678</v>
          </cell>
          <cell r="G26">
            <v>331.50789878666671</v>
          </cell>
          <cell r="H26">
            <v>350.04698006666672</v>
          </cell>
          <cell r="I26">
            <v>365.44359713333336</v>
          </cell>
          <cell r="J26">
            <v>378.59553520000003</v>
          </cell>
          <cell r="K26">
            <v>388.25670586666666</v>
          </cell>
          <cell r="L26">
            <v>397.68769533333335</v>
          </cell>
        </row>
        <row r="27">
          <cell r="E27">
            <v>21.818916000000002</v>
          </cell>
          <cell r="F27">
            <v>23.488731000000001</v>
          </cell>
          <cell r="G27">
            <v>26.271756</v>
          </cell>
          <cell r="H27">
            <v>27.941571</v>
          </cell>
          <cell r="I27">
            <v>30.167991000000001</v>
          </cell>
          <cell r="J27">
            <v>31.169879999999999</v>
          </cell>
          <cell r="K27">
            <v>31.169879999999999</v>
          </cell>
          <cell r="L27">
            <v>31.169879999999999</v>
          </cell>
        </row>
        <row r="28">
          <cell r="E28">
            <v>250.48049600000002</v>
          </cell>
          <cell r="F28">
            <v>284.37155600000006</v>
          </cell>
          <cell r="G28">
            <v>304.40933600000005</v>
          </cell>
          <cell r="H28">
            <v>320.48903600000006</v>
          </cell>
          <cell r="I28">
            <v>331.86851600000006</v>
          </cell>
          <cell r="J28">
            <v>342.11004800000006</v>
          </cell>
          <cell r="K28">
            <v>349.77882800000003</v>
          </cell>
          <cell r="L28">
            <v>357.20022800000004</v>
          </cell>
        </row>
        <row r="29">
          <cell r="E29">
            <v>0.10857233333333334</v>
          </cell>
          <cell r="F29">
            <v>0.13312970666666665</v>
          </cell>
          <cell r="G29">
            <v>0.82680678666666663</v>
          </cell>
          <cell r="H29">
            <v>1.6163730666666669</v>
          </cell>
          <cell r="I29">
            <v>3.4070901333333339</v>
          </cell>
          <cell r="J29">
            <v>5.3156072000000014</v>
          </cell>
          <cell r="K29">
            <v>7.3079978666666685</v>
          </cell>
          <cell r="L29">
            <v>9.3175873333333357</v>
          </cell>
        </row>
        <row r="30">
          <cell r="E30">
            <v>80.697777436650398</v>
          </cell>
          <cell r="F30">
            <v>90.391963180102778</v>
          </cell>
          <cell r="G30">
            <v>89.674422400462191</v>
          </cell>
          <cell r="H30">
            <v>87.327340001105114</v>
          </cell>
          <cell r="I30">
            <v>85.42777361213966</v>
          </cell>
          <cell r="J30">
            <v>84.381662692585735</v>
          </cell>
          <cell r="K30">
            <v>84.119718263376143</v>
          </cell>
          <cell r="L30">
            <v>84.604209284828102</v>
          </cell>
        </row>
        <row r="31">
          <cell r="E31">
            <v>16.808271672135472</v>
          </cell>
          <cell r="F31">
            <v>20.859683810792948</v>
          </cell>
          <cell r="G31">
            <v>21.856191028763007</v>
          </cell>
          <cell r="H31">
            <v>22.852698246733063</v>
          </cell>
          <cell r="I31">
            <v>23.337189268185032</v>
          </cell>
          <cell r="J31">
            <v>23.821680289636994</v>
          </cell>
          <cell r="K31">
            <v>24.306171311088956</v>
          </cell>
          <cell r="L31">
            <v>24.790662332540911</v>
          </cell>
        </row>
        <row r="32">
          <cell r="E32">
            <v>19.609650284158047</v>
          </cell>
          <cell r="F32">
            <v>26.074604763491184</v>
          </cell>
          <cell r="G32">
            <v>25.431836764387192</v>
          </cell>
          <cell r="H32">
            <v>24.177990657889524</v>
          </cell>
          <cell r="I32">
            <v>23.283969128982989</v>
          </cell>
          <cell r="J32">
            <v>22.709993401105777</v>
          </cell>
          <cell r="K32">
            <v>22.430080107107699</v>
          </cell>
          <cell r="L32">
            <v>22.430080107107699</v>
          </cell>
        </row>
        <row r="33">
          <cell r="E33">
            <v>44.279855480356886</v>
          </cell>
          <cell r="F33">
            <v>43.457674605818639</v>
          </cell>
          <cell r="G33">
            <v>42.386394607311985</v>
          </cell>
          <cell r="H33">
            <v>40.296651096482535</v>
          </cell>
          <cell r="I33">
            <v>38.806615214971643</v>
          </cell>
          <cell r="J33">
            <v>37.849989001842957</v>
          </cell>
          <cell r="K33">
            <v>37.383466845179491</v>
          </cell>
          <cell r="L33">
            <v>37.383466845179491</v>
          </cell>
        </row>
      </sheetData>
      <sheetData sheetId="1">
        <row r="5">
          <cell r="E5">
            <v>755.511772170462</v>
          </cell>
          <cell r="F5">
            <v>734.38215642269324</v>
          </cell>
          <cell r="G5">
            <v>786.48531281448277</v>
          </cell>
          <cell r="H5">
            <v>796.29796542832776</v>
          </cell>
          <cell r="I5">
            <v>820.80908807147819</v>
          </cell>
          <cell r="J5">
            <v>817.41726339821344</v>
          </cell>
          <cell r="K5">
            <v>809.2920729660367</v>
          </cell>
          <cell r="L5">
            <v>810.89879083039273</v>
          </cell>
        </row>
        <row r="6">
          <cell r="E6">
            <v>99.736849093538822</v>
          </cell>
          <cell r="F6">
            <v>100.05695001243684</v>
          </cell>
          <cell r="G6">
            <v>93.832362814482678</v>
          </cell>
          <cell r="H6">
            <v>95.914419274481602</v>
          </cell>
          <cell r="I6">
            <v>97.203363712503688</v>
          </cell>
          <cell r="J6">
            <v>98.465981346931358</v>
          </cell>
          <cell r="K6">
            <v>99.704165914754526</v>
          </cell>
          <cell r="L6">
            <v>100.91963377911071</v>
          </cell>
        </row>
        <row r="7">
          <cell r="E7">
            <v>12.8</v>
          </cell>
          <cell r="F7">
            <v>14.601778667555065</v>
          </cell>
          <cell r="G7">
            <v>13.185764851075584</v>
          </cell>
          <cell r="H7">
            <v>13.273539972673817</v>
          </cell>
          <cell r="I7">
            <v>13.370543848684587</v>
          </cell>
          <cell r="J7">
            <v>13.462781665423952</v>
          </cell>
          <cell r="K7">
            <v>13.550596254588365</v>
          </cell>
          <cell r="L7">
            <v>13.634298337090655</v>
          </cell>
        </row>
        <row r="8">
          <cell r="E8">
            <v>70</v>
          </cell>
          <cell r="F8">
            <v>66.055665400844333</v>
          </cell>
          <cell r="G8">
            <v>59.649888612008581</v>
          </cell>
          <cell r="H8">
            <v>60.046966543048214</v>
          </cell>
          <cell r="I8">
            <v>60.485793601192178</v>
          </cell>
          <cell r="J8">
            <v>60.90305991501311</v>
          </cell>
          <cell r="K8">
            <v>61.300316389804507</v>
          </cell>
          <cell r="L8">
            <v>61.678968667791047</v>
          </cell>
        </row>
        <row r="9">
          <cell r="E9">
            <v>16.936849093538822</v>
          </cell>
          <cell r="F9">
            <v>19.399505944037443</v>
          </cell>
          <cell r="G9">
            <v>20.996709351398508</v>
          </cell>
          <cell r="H9">
            <v>22.593912758759576</v>
          </cell>
          <cell r="I9">
            <v>23.347026262626933</v>
          </cell>
          <cell r="J9">
            <v>24.100139766494298</v>
          </cell>
          <cell r="K9">
            <v>24.853253270361655</v>
          </cell>
          <cell r="L9">
            <v>25.606366774229009</v>
          </cell>
        </row>
        <row r="10">
          <cell r="E10">
            <v>0</v>
          </cell>
          <cell r="F10">
            <v>0</v>
          </cell>
          <cell r="G10">
            <v>26</v>
          </cell>
          <cell r="H10">
            <v>26</v>
          </cell>
          <cell r="I10">
            <v>26</v>
          </cell>
          <cell r="J10">
            <v>26</v>
          </cell>
          <cell r="K10">
            <v>26</v>
          </cell>
          <cell r="L10">
            <v>26</v>
          </cell>
        </row>
        <row r="11">
          <cell r="E11">
            <v>0</v>
          </cell>
          <cell r="F11">
            <v>0</v>
          </cell>
          <cell r="G11">
            <v>26</v>
          </cell>
          <cell r="H11">
            <v>26</v>
          </cell>
          <cell r="I11">
            <v>26</v>
          </cell>
          <cell r="J11">
            <v>26</v>
          </cell>
          <cell r="K11">
            <v>26</v>
          </cell>
          <cell r="L11">
            <v>26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655.77492307692319</v>
          </cell>
          <cell r="F13">
            <v>634.32520641025644</v>
          </cell>
          <cell r="G13">
            <v>666.65295000000003</v>
          </cell>
          <cell r="H13">
            <v>674.38354615384617</v>
          </cell>
          <cell r="I13">
            <v>697.6057243589745</v>
          </cell>
          <cell r="J13">
            <v>692.95128205128208</v>
          </cell>
          <cell r="K13">
            <v>683.58790705128217</v>
          </cell>
          <cell r="L13">
            <v>683.97915705128207</v>
          </cell>
        </row>
        <row r="14">
          <cell r="E14">
            <v>135.76530769230772</v>
          </cell>
          <cell r="F14">
            <v>145.08434102564107</v>
          </cell>
          <cell r="G14">
            <v>166.70294999999999</v>
          </cell>
          <cell r="H14">
            <v>177.57056538461538</v>
          </cell>
          <cell r="I14">
            <v>197.00668589743591</v>
          </cell>
          <cell r="J14">
            <v>203.79695512820516</v>
          </cell>
          <cell r="K14">
            <v>203.99608012820519</v>
          </cell>
          <cell r="L14">
            <v>204.38733012820515</v>
          </cell>
        </row>
        <row r="15">
          <cell r="E15">
            <v>271.38461538461542</v>
          </cell>
          <cell r="F15">
            <v>289.38461538461542</v>
          </cell>
          <cell r="G15">
            <v>324</v>
          </cell>
          <cell r="H15">
            <v>344.76923076923077</v>
          </cell>
          <cell r="I15">
            <v>372.46153846153851</v>
          </cell>
          <cell r="J15">
            <v>384.92307692307691</v>
          </cell>
          <cell r="K15">
            <v>384.92307692307691</v>
          </cell>
          <cell r="L15">
            <v>384.92307692307691</v>
          </cell>
        </row>
        <row r="16">
          <cell r="E16">
            <v>175.5</v>
          </cell>
          <cell r="F16">
            <v>141.07499999999999</v>
          </cell>
          <cell r="G16">
            <v>124.2</v>
          </cell>
          <cell r="H16">
            <v>107.325</v>
          </cell>
          <cell r="I16">
            <v>90.45</v>
          </cell>
          <cell r="J16">
            <v>73.575000000000003</v>
          </cell>
          <cell r="K16">
            <v>66.825000000000003</v>
          </cell>
          <cell r="L16">
            <v>66.825000000000003</v>
          </cell>
        </row>
        <row r="17">
          <cell r="E17">
            <v>73.125</v>
          </cell>
          <cell r="F17">
            <v>58.78125</v>
          </cell>
          <cell r="G17">
            <v>51.75</v>
          </cell>
          <cell r="H17">
            <v>44.71875</v>
          </cell>
          <cell r="I17">
            <v>37.6875</v>
          </cell>
          <cell r="J17">
            <v>30.65625</v>
          </cell>
          <cell r="K17">
            <v>27.84375</v>
          </cell>
          <cell r="L17">
            <v>27.84375</v>
          </cell>
        </row>
        <row r="18">
          <cell r="E18">
            <v>495.35786597364154</v>
          </cell>
          <cell r="F18">
            <v>546.58545337356577</v>
          </cell>
          <cell r="G18">
            <v>595.58302489534231</v>
          </cell>
          <cell r="H18">
            <v>634.20915007756616</v>
          </cell>
          <cell r="I18">
            <v>653.93762735933899</v>
          </cell>
          <cell r="J18">
            <v>671.46324464111171</v>
          </cell>
          <cell r="K18">
            <v>685.52789792288468</v>
          </cell>
          <cell r="L18">
            <v>699.36649300465751</v>
          </cell>
        </row>
        <row r="19">
          <cell r="E19">
            <v>205.60527364030821</v>
          </cell>
          <cell r="F19">
            <v>202.66514381356575</v>
          </cell>
          <cell r="G19">
            <v>223.34832018877611</v>
          </cell>
          <cell r="H19">
            <v>245.32070567697463</v>
          </cell>
          <cell r="I19">
            <v>250.14823988411598</v>
          </cell>
          <cell r="J19">
            <v>254.97577409125731</v>
          </cell>
          <cell r="K19">
            <v>259.80330829839863</v>
          </cell>
          <cell r="L19">
            <v>264.63084250554004</v>
          </cell>
        </row>
        <row r="20">
          <cell r="E20">
            <v>161</v>
          </cell>
          <cell r="F20">
            <v>155.57847508883074</v>
          </cell>
          <cell r="G20">
            <v>173.78025637961431</v>
          </cell>
          <cell r="H20">
            <v>191.98203767039792</v>
          </cell>
          <cell r="I20">
            <v>195.03165622463948</v>
          </cell>
          <cell r="J20">
            <v>198.08127477888104</v>
          </cell>
          <cell r="K20">
            <v>201.13089333312257</v>
          </cell>
          <cell r="L20">
            <v>204.18051188736419</v>
          </cell>
        </row>
        <row r="21">
          <cell r="E21">
            <v>44.605273640308226</v>
          </cell>
          <cell r="F21">
            <v>47.086668724735013</v>
          </cell>
          <cell r="G21">
            <v>49.568063809161799</v>
          </cell>
          <cell r="H21">
            <v>53.338668006576711</v>
          </cell>
          <cell r="I21">
            <v>55.11658365947649</v>
          </cell>
          <cell r="J21">
            <v>56.894499312376269</v>
          </cell>
          <cell r="K21">
            <v>58.672414965276069</v>
          </cell>
          <cell r="L21">
            <v>60.45033061817584</v>
          </cell>
        </row>
        <row r="22">
          <cell r="E22">
            <v>17.567250000000001</v>
          </cell>
          <cell r="F22">
            <v>37.567250000000001</v>
          </cell>
          <cell r="G22">
            <v>43.504604526566084</v>
          </cell>
          <cell r="H22">
            <v>42.708759800591473</v>
          </cell>
          <cell r="I22">
            <v>43.014950408556288</v>
          </cell>
          <cell r="J22">
            <v>43.321141016521111</v>
          </cell>
          <cell r="K22">
            <v>43.627331624485919</v>
          </cell>
          <cell r="L22">
            <v>43.933522232450741</v>
          </cell>
        </row>
        <row r="23">
          <cell r="E23">
            <v>0</v>
          </cell>
          <cell r="F23">
            <v>0</v>
          </cell>
          <cell r="G23">
            <v>3.5037147444562735</v>
          </cell>
          <cell r="H23">
            <v>3.4759201479907613</v>
          </cell>
          <cell r="I23">
            <v>3.5311348477876954</v>
          </cell>
          <cell r="J23">
            <v>3.5863495475846294</v>
          </cell>
          <cell r="K23">
            <v>3.6415642473815639</v>
          </cell>
          <cell r="L23">
            <v>3.6967789471784984</v>
          </cell>
        </row>
        <row r="24">
          <cell r="E24">
            <v>15</v>
          </cell>
          <cell r="F24">
            <v>15</v>
          </cell>
          <cell r="G24">
            <v>16.040524155797431</v>
          </cell>
          <cell r="H24">
            <v>15.799637036321641</v>
          </cell>
          <cell r="I24">
            <v>16.050612944489526</v>
          </cell>
          <cell r="J24">
            <v>16.30158885265741</v>
          </cell>
          <cell r="K24">
            <v>16.552564760825291</v>
          </cell>
          <cell r="L24">
            <v>16.803540668993175</v>
          </cell>
        </row>
        <row r="25">
          <cell r="E25">
            <v>2.5672499999999996</v>
          </cell>
          <cell r="F25">
            <v>22.567250000000001</v>
          </cell>
          <cell r="G25">
            <v>23.960365626312377</v>
          </cell>
          <cell r="H25">
            <v>23.433202616279068</v>
          </cell>
          <cell r="I25">
            <v>23.433202616279068</v>
          </cell>
          <cell r="J25">
            <v>23.433202616279068</v>
          </cell>
          <cell r="K25">
            <v>23.433202616279068</v>
          </cell>
          <cell r="L25">
            <v>23.433202616279068</v>
          </cell>
        </row>
        <row r="26">
          <cell r="E26">
            <v>272.18534233333332</v>
          </cell>
          <cell r="F26">
            <v>306.35305956000008</v>
          </cell>
          <cell r="G26">
            <v>328.73010018000008</v>
          </cell>
          <cell r="H26">
            <v>346.17968460000009</v>
          </cell>
          <cell r="I26">
            <v>360.77443706666674</v>
          </cell>
          <cell r="J26">
            <v>373.16632953333334</v>
          </cell>
          <cell r="K26">
            <v>382.09725800000012</v>
          </cell>
          <cell r="L26">
            <v>390.80212826666673</v>
          </cell>
        </row>
        <row r="27">
          <cell r="E27">
            <v>21.596274000000001</v>
          </cell>
          <cell r="F27">
            <v>23.266089000000001</v>
          </cell>
          <cell r="G27">
            <v>26.049113999999999</v>
          </cell>
          <cell r="H27">
            <v>27.718928999999999</v>
          </cell>
          <cell r="I27">
            <v>29.945349</v>
          </cell>
          <cell r="J27">
            <v>30.947237999999999</v>
          </cell>
          <cell r="K27">
            <v>30.947237999999999</v>
          </cell>
          <cell r="L27">
            <v>30.947237999999999</v>
          </cell>
        </row>
        <row r="28">
          <cell r="E28">
            <v>250.48049600000002</v>
          </cell>
          <cell r="F28">
            <v>282.88727600000004</v>
          </cell>
          <cell r="G28">
            <v>301.44077600000008</v>
          </cell>
          <cell r="H28">
            <v>316.03619600000007</v>
          </cell>
          <cell r="I28">
            <v>325.93139600000006</v>
          </cell>
          <cell r="J28">
            <v>334.68864800000006</v>
          </cell>
          <cell r="K28">
            <v>340.87314800000007</v>
          </cell>
          <cell r="L28">
            <v>346.81026800000006</v>
          </cell>
        </row>
        <row r="29">
          <cell r="E29">
            <v>0.10857233333333334</v>
          </cell>
          <cell r="F29">
            <v>0.19969456000000002</v>
          </cell>
          <cell r="G29">
            <v>1.2402101800000003</v>
          </cell>
          <cell r="H29">
            <v>2.4245596000000003</v>
          </cell>
          <cell r="I29">
            <v>4.897692066666667</v>
          </cell>
          <cell r="J29">
            <v>7.5304435333333339</v>
          </cell>
          <cell r="K29">
            <v>10.276872000000003</v>
          </cell>
          <cell r="L29">
            <v>13.04462226666667</v>
          </cell>
        </row>
        <row r="30">
          <cell r="E30">
            <v>80.697777436650398</v>
          </cell>
          <cell r="F30">
            <v>86.420939502965012</v>
          </cell>
          <cell r="G30">
            <v>100.4378767731265</v>
          </cell>
          <cell r="H30">
            <v>98.059685097804788</v>
          </cell>
          <cell r="I30">
            <v>96.012555034319831</v>
          </cell>
          <cell r="J30">
            <v>94.904225987187544</v>
          </cell>
          <cell r="K30">
            <v>94.658480079434042</v>
          </cell>
          <cell r="L30">
            <v>95.233813167408243</v>
          </cell>
        </row>
        <row r="31">
          <cell r="E31">
            <v>16.808271672135472</v>
          </cell>
          <cell r="F31">
            <v>19.943293731453466</v>
          </cell>
          <cell r="G31">
            <v>25.837822264257412</v>
          </cell>
          <cell r="H31">
            <v>27.137579167995511</v>
          </cell>
          <cell r="I31">
            <v>27.712912255969727</v>
          </cell>
          <cell r="J31">
            <v>28.288245343943931</v>
          </cell>
          <cell r="K31">
            <v>28.863578431918143</v>
          </cell>
          <cell r="L31">
            <v>29.438911519892333</v>
          </cell>
        </row>
        <row r="32">
          <cell r="E32">
            <v>19.609650284158047</v>
          </cell>
          <cell r="F32">
            <v>24.929117164316832</v>
          </cell>
          <cell r="G32">
            <v>27.975020440825915</v>
          </cell>
          <cell r="H32">
            <v>26.595789723678479</v>
          </cell>
          <cell r="I32">
            <v>25.612366041881291</v>
          </cell>
          <cell r="J32">
            <v>24.980992741216358</v>
          </cell>
          <cell r="K32">
            <v>24.67308811781847</v>
          </cell>
          <cell r="L32">
            <v>24.67308811781847</v>
          </cell>
        </row>
        <row r="33">
          <cell r="E33">
            <v>44.279855480356886</v>
          </cell>
          <cell r="F33">
            <v>41.548528607194719</v>
          </cell>
          <cell r="G33">
            <v>46.625034068043185</v>
          </cell>
          <cell r="H33">
            <v>44.326316206130791</v>
          </cell>
          <cell r="I33">
            <v>42.68727673646881</v>
          </cell>
          <cell r="J33">
            <v>41.634987902027255</v>
          </cell>
          <cell r="K33">
            <v>41.121813529697441</v>
          </cell>
          <cell r="L33">
            <v>41.121813529697441</v>
          </cell>
        </row>
        <row r="34">
          <cell r="E34">
            <v>0</v>
          </cell>
          <cell r="F34">
            <v>39.297778076461626</v>
          </cell>
          <cell r="G34">
            <v>64.789724384361861</v>
          </cell>
          <cell r="H34">
            <v>90.281670692262068</v>
          </cell>
          <cell r="I34">
            <v>97.052795994181707</v>
          </cell>
          <cell r="J34">
            <v>104.33175569374534</v>
          </cell>
          <cell r="K34">
            <v>112.15663737077622</v>
          </cell>
          <cell r="L34">
            <v>120.56838517358445</v>
          </cell>
        </row>
        <row r="36">
          <cell r="E36">
            <v>0</v>
          </cell>
          <cell r="F36">
            <v>27.562894645284221</v>
          </cell>
          <cell r="G36">
            <v>53.812046617132495</v>
          </cell>
          <cell r="H36">
            <v>80.061198588980716</v>
          </cell>
          <cell r="I36">
            <v>106.37267088881327</v>
          </cell>
          <cell r="J36">
            <v>128.22708068864583</v>
          </cell>
          <cell r="K36">
            <v>147.42016215106204</v>
          </cell>
          <cell r="L36">
            <v>175.25123556174839</v>
          </cell>
        </row>
      </sheetData>
      <sheetData sheetId="2">
        <row r="5">
          <cell r="E5">
            <v>755.511772170462</v>
          </cell>
          <cell r="F5">
            <v>736.24474500630765</v>
          </cell>
          <cell r="G5">
            <v>751.61149356281635</v>
          </cell>
          <cell r="H5">
            <v>707.26462653949716</v>
          </cell>
          <cell r="I5">
            <v>700.15611454776126</v>
          </cell>
          <cell r="J5">
            <v>702.90076922269213</v>
          </cell>
          <cell r="K5">
            <v>704.41792389762304</v>
          </cell>
          <cell r="L5">
            <v>706.71857857255384</v>
          </cell>
        </row>
        <row r="6">
          <cell r="E6">
            <v>99.736849093538822</v>
          </cell>
          <cell r="F6">
            <v>88.364670647333213</v>
          </cell>
          <cell r="G6">
            <v>90.093557665380402</v>
          </cell>
          <cell r="H6">
            <v>91.20919064206123</v>
          </cell>
          <cell r="I6">
            <v>92.239845316992074</v>
          </cell>
          <cell r="J6">
            <v>93.270499991922918</v>
          </cell>
          <cell r="K6">
            <v>94.301154666853762</v>
          </cell>
          <cell r="L6">
            <v>95.33180934178462</v>
          </cell>
        </row>
        <row r="7">
          <cell r="E7">
            <v>12.8</v>
          </cell>
          <cell r="F7">
            <v>14.601778667555065</v>
          </cell>
          <cell r="G7">
            <v>14.162303945474802</v>
          </cell>
          <cell r="H7">
            <v>15.239619430450491</v>
          </cell>
          <cell r="I7">
            <v>15.747595331278999</v>
          </cell>
          <cell r="J7">
            <v>16.25557123210751</v>
          </cell>
          <cell r="K7">
            <v>16.763547132936022</v>
          </cell>
          <cell r="L7">
            <v>17.271523033764531</v>
          </cell>
        </row>
        <row r="8">
          <cell r="E8">
            <v>70</v>
          </cell>
          <cell r="F8">
            <v>54.363386035740703</v>
          </cell>
          <cell r="G8">
            <v>55.095018380164021</v>
          </cell>
          <cell r="H8">
            <v>53.696606476165044</v>
          </cell>
          <cell r="I8">
            <v>53.643847355965271</v>
          </cell>
          <cell r="J8">
            <v>53.591088235765497</v>
          </cell>
          <cell r="K8">
            <v>53.538329115565737</v>
          </cell>
          <cell r="L8">
            <v>53.485569995365971</v>
          </cell>
        </row>
        <row r="9">
          <cell r="E9">
            <v>16.936849093538822</v>
          </cell>
          <cell r="F9">
            <v>19.399505944037443</v>
          </cell>
          <cell r="G9">
            <v>20.836235339741574</v>
          </cell>
          <cell r="H9">
            <v>22.272964735445701</v>
          </cell>
          <cell r="I9">
            <v>22.848402629747802</v>
          </cell>
          <cell r="J9">
            <v>23.423840524049908</v>
          </cell>
          <cell r="K9">
            <v>23.999278418352013</v>
          </cell>
          <cell r="L9">
            <v>24.574716312654115</v>
          </cell>
        </row>
        <row r="10">
          <cell r="E10">
            <v>0</v>
          </cell>
          <cell r="F10">
            <v>5</v>
          </cell>
          <cell r="G10">
            <v>5</v>
          </cell>
          <cell r="H10">
            <v>5</v>
          </cell>
          <cell r="I10">
            <v>5</v>
          </cell>
          <cell r="J10">
            <v>5</v>
          </cell>
          <cell r="K10">
            <v>5</v>
          </cell>
          <cell r="L10">
            <v>5</v>
          </cell>
        </row>
        <row r="11">
          <cell r="E11">
            <v>0</v>
          </cell>
          <cell r="F11">
            <v>5</v>
          </cell>
          <cell r="G11">
            <v>5</v>
          </cell>
          <cell r="H11">
            <v>5</v>
          </cell>
          <cell r="I11">
            <v>5</v>
          </cell>
          <cell r="J11">
            <v>5</v>
          </cell>
          <cell r="K11">
            <v>5</v>
          </cell>
          <cell r="L11">
            <v>5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655.77492307692319</v>
          </cell>
          <cell r="F13">
            <v>642.88007435897441</v>
          </cell>
          <cell r="G13">
            <v>656.5179358974359</v>
          </cell>
          <cell r="H13">
            <v>611.05543589743593</v>
          </cell>
          <cell r="I13">
            <v>602.91626923076922</v>
          </cell>
          <cell r="J13">
            <v>604.63026923076927</v>
          </cell>
          <cell r="K13">
            <v>605.11676923076925</v>
          </cell>
          <cell r="L13">
            <v>606.38676923076923</v>
          </cell>
        </row>
        <row r="14">
          <cell r="E14">
            <v>135.76530769230772</v>
          </cell>
          <cell r="F14">
            <v>161.8560358974359</v>
          </cell>
          <cell r="G14">
            <v>195.61408974358977</v>
          </cell>
          <cell r="H14">
            <v>197.96408974358977</v>
          </cell>
          <cell r="I14">
            <v>208.94992307692308</v>
          </cell>
          <cell r="J14">
            <v>210.66392307692308</v>
          </cell>
          <cell r="K14">
            <v>211.15042307692306</v>
          </cell>
          <cell r="L14">
            <v>212.42042307692307</v>
          </cell>
        </row>
        <row r="15">
          <cell r="E15">
            <v>271.38461538461542</v>
          </cell>
          <cell r="F15">
            <v>318.46153846153851</v>
          </cell>
          <cell r="G15">
            <v>346.15384615384613</v>
          </cell>
          <cell r="H15">
            <v>346.15384615384613</v>
          </cell>
          <cell r="I15">
            <v>346.15384615384613</v>
          </cell>
          <cell r="J15">
            <v>346.15384615384613</v>
          </cell>
          <cell r="K15">
            <v>346.15384615384613</v>
          </cell>
          <cell r="L15">
            <v>346.15384615384613</v>
          </cell>
        </row>
        <row r="16">
          <cell r="E16">
            <v>175.5</v>
          </cell>
          <cell r="F16">
            <v>114.75</v>
          </cell>
          <cell r="G16">
            <v>81</v>
          </cell>
          <cell r="H16">
            <v>47.25</v>
          </cell>
          <cell r="I16">
            <v>33.75</v>
          </cell>
          <cell r="J16">
            <v>33.75</v>
          </cell>
          <cell r="K16">
            <v>33.75</v>
          </cell>
          <cell r="L16">
            <v>33.75</v>
          </cell>
        </row>
        <row r="17">
          <cell r="E17">
            <v>73.125</v>
          </cell>
          <cell r="F17">
            <v>47.8125</v>
          </cell>
          <cell r="G17">
            <v>33.75</v>
          </cell>
          <cell r="H17">
            <v>19.6875</v>
          </cell>
          <cell r="I17">
            <v>14.0625</v>
          </cell>
          <cell r="J17">
            <v>14.0625</v>
          </cell>
          <cell r="K17">
            <v>14.0625</v>
          </cell>
          <cell r="L17">
            <v>14.0625</v>
          </cell>
        </row>
        <row r="18">
          <cell r="E18">
            <v>495.01153397364158</v>
          </cell>
          <cell r="F18">
            <v>545.25517840261205</v>
          </cell>
          <cell r="G18">
            <v>553.16004134452123</v>
          </cell>
          <cell r="H18">
            <v>552.22793766149789</v>
          </cell>
          <cell r="I18">
            <v>559.94232852569098</v>
          </cell>
          <cell r="J18">
            <v>569.39916186822575</v>
          </cell>
          <cell r="K18">
            <v>579.22197858799882</v>
          </cell>
          <cell r="L18">
            <v>589.09623009880625</v>
          </cell>
        </row>
        <row r="19">
          <cell r="E19">
            <v>205.60527364030821</v>
          </cell>
          <cell r="F19">
            <v>215.20129123950832</v>
          </cell>
          <cell r="G19">
            <v>224.79730883870843</v>
          </cell>
          <cell r="H19">
            <v>224.12027567466103</v>
          </cell>
          <cell r="I19">
            <v>225.73039138715177</v>
          </cell>
          <cell r="J19">
            <v>227.34050709964242</v>
          </cell>
          <cell r="K19">
            <v>228.95062281213316</v>
          </cell>
          <cell r="L19">
            <v>230.5607385246239</v>
          </cell>
        </row>
        <row r="20">
          <cell r="E20">
            <v>161</v>
          </cell>
          <cell r="F20">
            <v>168.11462251477332</v>
          </cell>
          <cell r="G20">
            <v>175.22924502954663</v>
          </cell>
          <cell r="H20">
            <v>170.78160766808432</v>
          </cell>
          <cell r="I20">
            <v>170.61380772767527</v>
          </cell>
          <cell r="J20">
            <v>170.44600778726615</v>
          </cell>
          <cell r="K20">
            <v>170.2782078468571</v>
          </cell>
          <cell r="L20">
            <v>170.11040790644805</v>
          </cell>
        </row>
        <row r="21">
          <cell r="E21">
            <v>44.605273640308226</v>
          </cell>
          <cell r="F21">
            <v>47.086668724735013</v>
          </cell>
          <cell r="G21">
            <v>49.568063809161799</v>
          </cell>
          <cell r="H21">
            <v>53.338668006576711</v>
          </cell>
          <cell r="I21">
            <v>55.11658365947649</v>
          </cell>
          <cell r="J21">
            <v>56.894499312376269</v>
          </cell>
          <cell r="K21">
            <v>58.672414965276069</v>
          </cell>
          <cell r="L21">
            <v>60.45033061817584</v>
          </cell>
        </row>
        <row r="22">
          <cell r="E22">
            <v>17.567250000000001</v>
          </cell>
          <cell r="F22">
            <v>43.853996629770378</v>
          </cell>
          <cell r="G22">
            <v>45.354711505812794</v>
          </cell>
          <cell r="H22">
            <v>46.843748520170074</v>
          </cell>
          <cell r="I22">
            <v>45.908766871872601</v>
          </cell>
          <cell r="J22">
            <v>44.99634770191669</v>
          </cell>
          <cell r="K22">
            <v>44.105464709199012</v>
          </cell>
          <cell r="L22">
            <v>43.235152907515683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15</v>
          </cell>
          <cell r="F24">
            <v>17.510197031897615</v>
          </cell>
          <cell r="G24">
            <v>18.187429065980186</v>
          </cell>
          <cell r="H24">
            <v>18.864661100062758</v>
          </cell>
          <cell r="I24">
            <v>18.662427563140163</v>
          </cell>
          <cell r="J24">
            <v>18.460194026217568</v>
          </cell>
          <cell r="K24">
            <v>18.25796048929497</v>
          </cell>
          <cell r="L24">
            <v>18.055726952372378</v>
          </cell>
        </row>
        <row r="25">
          <cell r="E25">
            <v>2.5672499999999996</v>
          </cell>
          <cell r="F25">
            <v>26.343799597872763</v>
          </cell>
          <cell r="G25">
            <v>27.167282439832608</v>
          </cell>
          <cell r="H25">
            <v>27.979087420107316</v>
          </cell>
          <cell r="I25">
            <v>27.246339308732434</v>
          </cell>
          <cell r="J25">
            <v>26.536153675699122</v>
          </cell>
          <cell r="K25">
            <v>25.847504219904046</v>
          </cell>
          <cell r="L25">
            <v>25.179425955143302</v>
          </cell>
        </row>
        <row r="26">
          <cell r="E26">
            <v>271.83901033333336</v>
          </cell>
          <cell r="F26">
            <v>286.19989053333342</v>
          </cell>
          <cell r="G26">
            <v>283.00802099999999</v>
          </cell>
          <cell r="H26">
            <v>281.26391346666674</v>
          </cell>
          <cell r="I26">
            <v>288.30317026666665</v>
          </cell>
          <cell r="J26">
            <v>297.06230706666668</v>
          </cell>
          <cell r="K26">
            <v>306.16589106666669</v>
          </cell>
          <cell r="L26">
            <v>315.30033866666668</v>
          </cell>
        </row>
        <row r="27">
          <cell r="E27">
            <v>21.596274000000001</v>
          </cell>
          <cell r="F27">
            <v>25.603829999999999</v>
          </cell>
          <cell r="G27">
            <v>27.830249999999999</v>
          </cell>
          <cell r="H27">
            <v>27.830249999999999</v>
          </cell>
          <cell r="I27">
            <v>27.830249999999999</v>
          </cell>
          <cell r="J27">
            <v>27.830249999999999</v>
          </cell>
          <cell r="K27">
            <v>27.830249999999999</v>
          </cell>
          <cell r="L27">
            <v>27.830249999999999</v>
          </cell>
        </row>
        <row r="28">
          <cell r="E28">
            <v>250.13416400000003</v>
          </cell>
          <cell r="F28">
            <v>259.93041200000005</v>
          </cell>
          <cell r="G28">
            <v>249.54045200000002</v>
          </cell>
          <cell r="H28">
            <v>242.11905200000004</v>
          </cell>
          <cell r="I28">
            <v>240.88215200000002</v>
          </cell>
          <cell r="J28">
            <v>240.88215200000002</v>
          </cell>
          <cell r="K28">
            <v>240.88215200000002</v>
          </cell>
          <cell r="L28">
            <v>240.88215200000002</v>
          </cell>
        </row>
        <row r="29">
          <cell r="E29">
            <v>0.10857233333333334</v>
          </cell>
          <cell r="F29">
            <v>0.6656485333333334</v>
          </cell>
          <cell r="G29">
            <v>5.6373190000000015</v>
          </cell>
          <cell r="H29">
            <v>11.314611466666669</v>
          </cell>
          <cell r="I29">
            <v>19.590768266666668</v>
          </cell>
          <cell r="J29">
            <v>28.349905066666672</v>
          </cell>
          <cell r="K29">
            <v>37.45348906666667</v>
          </cell>
          <cell r="L29">
            <v>46.587936666666671</v>
          </cell>
        </row>
        <row r="30">
          <cell r="E30">
            <v>80.697777436650398</v>
          </cell>
          <cell r="F30">
            <v>94.277388548689089</v>
          </cell>
          <cell r="G30">
            <v>107.60930688055461</v>
          </cell>
          <cell r="H30">
            <v>104.79280800132614</v>
          </cell>
          <cell r="I30">
            <v>102.5133283345676</v>
          </cell>
          <cell r="J30">
            <v>101.25799523110288</v>
          </cell>
          <cell r="K30">
            <v>100.94366191605138</v>
          </cell>
          <cell r="L30">
            <v>101.52505114179371</v>
          </cell>
        </row>
        <row r="31">
          <cell r="E31">
            <v>16.808271672135472</v>
          </cell>
          <cell r="F31">
            <v>21.756320434312869</v>
          </cell>
          <cell r="G31">
            <v>26.227429234515608</v>
          </cell>
          <cell r="H31">
            <v>27.423237896079673</v>
          </cell>
          <cell r="I31">
            <v>28.004627121822036</v>
          </cell>
          <cell r="J31">
            <v>28.586016347564392</v>
          </cell>
          <cell r="K31">
            <v>29.167405573306745</v>
          </cell>
          <cell r="L31">
            <v>29.748794799049094</v>
          </cell>
        </row>
        <row r="32">
          <cell r="E32">
            <v>19.609650284158047</v>
          </cell>
          <cell r="F32">
            <v>27.195400542891086</v>
          </cell>
          <cell r="G32">
            <v>30.518204117264631</v>
          </cell>
          <cell r="H32">
            <v>29.013588789467427</v>
          </cell>
          <cell r="I32">
            <v>27.940762954779586</v>
          </cell>
          <cell r="J32">
            <v>27.251992081326932</v>
          </cell>
          <cell r="K32">
            <v>26.916096128529237</v>
          </cell>
          <cell r="L32">
            <v>26.916096128529237</v>
          </cell>
        </row>
        <row r="33">
          <cell r="E33">
            <v>44.279855480356886</v>
          </cell>
          <cell r="F33">
            <v>45.325667571485141</v>
          </cell>
          <cell r="G33">
            <v>50.863673528774378</v>
          </cell>
          <cell r="H33">
            <v>48.35598131577904</v>
          </cell>
          <cell r="I33">
            <v>46.56793825796597</v>
          </cell>
          <cell r="J33">
            <v>45.419986802211547</v>
          </cell>
          <cell r="K33">
            <v>44.860160214215391</v>
          </cell>
          <cell r="L33">
            <v>44.860160214215391</v>
          </cell>
        </row>
        <row r="34">
          <cell r="E34">
            <v>0</v>
          </cell>
          <cell r="F34">
            <v>73.34390091119613</v>
          </cell>
          <cell r="G34">
            <v>118.7658888001687</v>
          </cell>
          <cell r="H34">
            <v>164.18787668914126</v>
          </cell>
          <cell r="I34">
            <v>176.50196744082686</v>
          </cell>
          <cell r="J34">
            <v>189.73961499888887</v>
          </cell>
          <cell r="K34">
            <v>203.97008612380552</v>
          </cell>
          <cell r="L34">
            <v>219.26784258309095</v>
          </cell>
        </row>
        <row r="36">
          <cell r="E36">
            <v>0</v>
          </cell>
          <cell r="F36">
            <v>74.728890853572352</v>
          </cell>
          <cell r="G36">
            <v>137.82617919622351</v>
          </cell>
          <cell r="H36">
            <v>200.92346753887472</v>
          </cell>
          <cell r="I36">
            <v>221.82252496040419</v>
          </cell>
          <cell r="J36">
            <v>239.68595738193392</v>
          </cell>
          <cell r="K36">
            <v>268.59856421769865</v>
          </cell>
          <cell r="L36">
            <v>283.42689683436811</v>
          </cell>
        </row>
      </sheetData>
      <sheetData sheetId="3">
        <row r="101">
          <cell r="B101">
            <v>0</v>
          </cell>
          <cell r="C101">
            <v>0</v>
          </cell>
          <cell r="D101">
            <v>0</v>
          </cell>
          <cell r="E101">
            <v>8.9384185735931556</v>
          </cell>
          <cell r="F101">
            <v>17.876837147186311</v>
          </cell>
          <cell r="I101">
            <v>0</v>
          </cell>
          <cell r="J101">
            <v>0</v>
          </cell>
        </row>
        <row r="118">
          <cell r="B118">
            <v>0</v>
          </cell>
          <cell r="C118">
            <v>0</v>
          </cell>
          <cell r="D118">
            <v>15.6</v>
          </cell>
          <cell r="E118">
            <v>33.299999999999997</v>
          </cell>
          <cell r="F118">
            <v>51</v>
          </cell>
          <cell r="G118">
            <v>84.7927538577907</v>
          </cell>
          <cell r="H118">
            <v>118.58550771558141</v>
          </cell>
          <cell r="I118">
            <v>152.37826157337213</v>
          </cell>
          <cell r="J118">
            <v>186.17101543116283</v>
          </cell>
        </row>
        <row r="138">
          <cell r="B138">
            <v>0</v>
          </cell>
          <cell r="C138">
            <v>0</v>
          </cell>
          <cell r="D138">
            <v>28.684395184509324</v>
          </cell>
          <cell r="E138">
            <v>90.318755467796478</v>
          </cell>
          <cell r="F138">
            <v>151.95311575108363</v>
          </cell>
          <cell r="G138">
            <v>226.40099146255869</v>
          </cell>
          <cell r="H138">
            <v>300.84886717403373</v>
          </cell>
          <cell r="I138">
            <v>375.29674288550882</v>
          </cell>
          <cell r="J138">
            <v>449.74461859698386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</sheetNames>
    <sheetDataSet>
      <sheetData sheetId="0">
        <row r="18">
          <cell r="B18">
            <v>12527</v>
          </cell>
        </row>
      </sheetData>
      <sheetData sheetId="1"/>
      <sheetData sheetId="2"/>
      <sheetData sheetId="3"/>
      <sheetData sheetId="4">
        <row r="7">
          <cell r="B7" t="str">
            <v>Base</v>
          </cell>
          <cell r="C7">
            <v>2010</v>
          </cell>
        </row>
        <row r="8">
          <cell r="B8" t="str">
            <v>BAU30</v>
          </cell>
          <cell r="C8">
            <v>2030</v>
          </cell>
        </row>
        <row r="9">
          <cell r="B9" t="str">
            <v>EE30</v>
          </cell>
          <cell r="C9">
            <v>2030</v>
          </cell>
        </row>
        <row r="10">
          <cell r="B10" t="str">
            <v>REFERENCE_1</v>
          </cell>
          <cell r="C10">
            <v>2012</v>
          </cell>
        </row>
        <row r="11">
          <cell r="B11" t="str">
            <v>CO2_COLLAPSE_1</v>
          </cell>
          <cell r="C11">
            <v>2030</v>
          </cell>
        </row>
        <row r="12">
          <cell r="B12" t="str">
            <v>CO2_CONCERN_1</v>
          </cell>
          <cell r="C12">
            <v>2030</v>
          </cell>
        </row>
        <row r="32">
          <cell r="C32">
            <v>0.05</v>
          </cell>
        </row>
        <row r="33">
          <cell r="C33">
            <v>7.45</v>
          </cell>
        </row>
        <row r="57">
          <cell r="C57">
            <v>5</v>
          </cell>
          <cell r="D57">
            <v>35</v>
          </cell>
          <cell r="E57">
            <v>35</v>
          </cell>
        </row>
      </sheetData>
      <sheetData sheetId="5">
        <row r="11">
          <cell r="A11" t="str">
            <v>Electricity</v>
          </cell>
        </row>
        <row r="12">
          <cell r="A12" t="str">
            <v>District Heating</v>
          </cell>
        </row>
        <row r="13">
          <cell r="A13" t="str">
            <v>Natural Gas</v>
          </cell>
        </row>
        <row r="14">
          <cell r="A14" t="str">
            <v>Lignite</v>
          </cell>
        </row>
        <row r="15">
          <cell r="A15" t="str">
            <v>Cheap coal</v>
          </cell>
        </row>
        <row r="16">
          <cell r="A16" t="str">
            <v>Gasoline</v>
          </cell>
        </row>
        <row r="17">
          <cell r="A17" t="str">
            <v>Diesel</v>
          </cell>
        </row>
        <row r="18">
          <cell r="A18" t="str">
            <v>Crude Oil</v>
          </cell>
        </row>
        <row r="19">
          <cell r="A19" t="str">
            <v>Nuclear - Uranium</v>
          </cell>
        </row>
        <row r="20">
          <cell r="A20" t="str">
            <v>Biomass (wood pellet)</v>
          </cell>
        </row>
        <row r="21">
          <cell r="A21" t="str">
            <v>Biomass (wood chips)</v>
          </cell>
        </row>
        <row r="22">
          <cell r="A22" t="str">
            <v>Biogas</v>
          </cell>
        </row>
        <row r="23">
          <cell r="A23" t="str">
            <v>Municipal Waste</v>
          </cell>
        </row>
        <row r="24">
          <cell r="A24" t="str">
            <v>Wind</v>
          </cell>
        </row>
        <row r="25">
          <cell r="A25" t="str">
            <v>Hydropower</v>
          </cell>
        </row>
        <row r="26">
          <cell r="A26" t="str">
            <v>Solar Power</v>
          </cell>
        </row>
        <row r="27">
          <cell r="A27" t="str">
            <v>Geothermal</v>
          </cell>
        </row>
        <row r="28">
          <cell r="A28" t="str">
            <v>Wave</v>
          </cell>
        </row>
        <row r="29">
          <cell r="A29" t="str">
            <v>Solar Heating</v>
          </cell>
        </row>
        <row r="30">
          <cell r="A30" t="str">
            <v>Hydrogen</v>
          </cell>
        </row>
        <row r="31">
          <cell r="A31" t="str">
            <v>Imported electricity</v>
          </cell>
        </row>
        <row r="32">
          <cell r="A32" t="str">
            <v>Ethanol</v>
          </cell>
        </row>
        <row r="33">
          <cell r="A33" t="str">
            <v>Municipal Waste, RE</v>
          </cell>
        </row>
        <row r="34">
          <cell r="A34" t="str">
            <v>Municipal Waste, non-RE</v>
          </cell>
        </row>
        <row r="35">
          <cell r="A35" t="str">
            <v>Surplus Heat</v>
          </cell>
        </row>
        <row r="36">
          <cell r="A36" t="str">
            <v>Coal</v>
          </cell>
        </row>
        <row r="37">
          <cell r="A37" t="str">
            <v>Imported heat</v>
          </cell>
        </row>
        <row r="38">
          <cell r="A38" t="str">
            <v>Oil</v>
          </cell>
        </row>
        <row r="39">
          <cell r="A39" t="str">
            <v>Methanol</v>
          </cell>
        </row>
        <row r="40">
          <cell r="A40" t="str">
            <v>Biogas CNG</v>
          </cell>
        </row>
        <row r="41">
          <cell r="A41" t="str">
            <v>Biodiesel</v>
          </cell>
        </row>
        <row r="42">
          <cell r="A42" t="str">
            <v>Natural Gas CNG</v>
          </cell>
        </row>
        <row r="43">
          <cell r="A43" t="str">
            <v>Nuclear</v>
          </cell>
        </row>
        <row r="44">
          <cell r="A44" t="str">
            <v>Thorium</v>
          </cell>
        </row>
        <row r="45">
          <cell r="A45" t="str">
            <v>Firewood</v>
          </cell>
        </row>
        <row r="46">
          <cell r="A46" t="str">
            <v>Oil shale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</sheetData>
      <sheetData sheetId="6">
        <row r="12">
          <cell r="A12" t="str">
            <v>Coal Plant (incl. Peat)</v>
          </cell>
        </row>
        <row r="13">
          <cell r="A13" t="str">
            <v>CCGT</v>
          </cell>
        </row>
        <row r="14">
          <cell r="A14" t="str">
            <v>Gasturbine</v>
          </cell>
        </row>
        <row r="15">
          <cell r="A15" t="str">
            <v>Wind, offshore</v>
          </cell>
        </row>
        <row r="16">
          <cell r="A16" t="str">
            <v>Wind, onshore</v>
          </cell>
        </row>
        <row r="17">
          <cell r="A17" t="str">
            <v>Biomass</v>
          </cell>
        </row>
        <row r="18">
          <cell r="A18" t="str">
            <v>Biogas</v>
          </cell>
        </row>
        <row r="19">
          <cell r="A19" t="str">
            <v>Waste incineration</v>
          </cell>
        </row>
        <row r="20">
          <cell r="A20" t="str">
            <v>Photo voltaic</v>
          </cell>
        </row>
        <row r="21">
          <cell r="A21" t="str">
            <v>Nuclear</v>
          </cell>
        </row>
        <row r="22">
          <cell r="A22" t="str">
            <v>Geothermal</v>
          </cell>
        </row>
        <row r="23">
          <cell r="A23" t="str">
            <v>Wave power</v>
          </cell>
        </row>
        <row r="24">
          <cell r="A24" t="str">
            <v>Natural gas incl. CO2-storage</v>
          </cell>
        </row>
        <row r="25">
          <cell r="A25" t="str">
            <v>Coal incl. CO2-storage</v>
          </cell>
        </row>
        <row r="26">
          <cell r="A26" t="str">
            <v>Biomass incl. CO2-storage</v>
          </cell>
        </row>
        <row r="27">
          <cell r="A27" t="str">
            <v>Hydro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</sheetData>
      <sheetData sheetId="7">
        <row r="12">
          <cell r="A12" t="str">
            <v>Coal boiler</v>
          </cell>
        </row>
        <row r="13">
          <cell r="A13" t="str">
            <v>Natural gas boiler</v>
          </cell>
        </row>
        <row r="14">
          <cell r="A14" t="str">
            <v>Geothermal</v>
          </cell>
        </row>
        <row r="15">
          <cell r="A15" t="str">
            <v>Heatpump</v>
          </cell>
        </row>
        <row r="16">
          <cell r="A16" t="str">
            <v>Wood pellet boiler</v>
          </cell>
        </row>
        <row r="17">
          <cell r="A17" t="str">
            <v>Oil boiler</v>
          </cell>
        </row>
        <row r="18">
          <cell r="A18" t="str">
            <v>Biogas</v>
          </cell>
        </row>
        <row r="19">
          <cell r="A19" t="str">
            <v>Municipal waste</v>
          </cell>
        </row>
        <row r="20">
          <cell r="A20" t="str">
            <v>Electric boiler</v>
          </cell>
        </row>
        <row r="21">
          <cell r="A21" t="str">
            <v>Solar heat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</sheetData>
      <sheetData sheetId="8"/>
      <sheetData sheetId="9">
        <row r="11">
          <cell r="A11" t="str">
            <v>Oil Boiler (house)</v>
          </cell>
        </row>
        <row r="12">
          <cell r="A12" t="str">
            <v>Gas Boiler (house)</v>
          </cell>
        </row>
        <row r="13">
          <cell r="A13" t="str">
            <v>Wood Pellet Boiler (house)</v>
          </cell>
        </row>
        <row r="14">
          <cell r="A14" t="str">
            <v>Heat pumps (air/air - house)</v>
          </cell>
        </row>
        <row r="15">
          <cell r="A15" t="str">
            <v>Solar heating (block)</v>
          </cell>
        </row>
        <row r="16">
          <cell r="A16" t="str">
            <v>District Heating (block)</v>
          </cell>
        </row>
        <row r="17">
          <cell r="A17" t="str">
            <v>Electric Heater (house)</v>
          </cell>
        </row>
        <row r="18">
          <cell r="A18" t="str">
            <v>Coal Boiler (house)</v>
          </cell>
        </row>
        <row r="19">
          <cell r="A19" t="str">
            <v>Wood Stove (house)</v>
          </cell>
        </row>
        <row r="20">
          <cell r="A20" t="str">
            <v>Wood Pellet Boiler (block)</v>
          </cell>
        </row>
        <row r="21">
          <cell r="A21" t="str">
            <v>District Heating (house)</v>
          </cell>
        </row>
        <row r="22">
          <cell r="A22" t="str">
            <v>Heat pumps (brine/ground - house)</v>
          </cell>
        </row>
        <row r="23">
          <cell r="A23" t="str">
            <v>Heat pumps (brine/ground - block)</v>
          </cell>
        </row>
        <row r="24">
          <cell r="A24" t="str">
            <v>Gas Boiler (block)</v>
          </cell>
        </row>
        <row r="25">
          <cell r="A25" t="str">
            <v>Heat pumps (air/water - house)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</sheetData>
      <sheetData sheetId="10">
        <row r="11">
          <cell r="A11" t="str">
            <v>Oil Boiler</v>
          </cell>
        </row>
        <row r="12">
          <cell r="A12" t="str">
            <v>Gas Boiler</v>
          </cell>
        </row>
        <row r="13">
          <cell r="A13" t="str">
            <v>Wood Pellet Boiler</v>
          </cell>
        </row>
        <row r="14">
          <cell r="A14" t="str">
            <v>Heat pumps (brine/ground)</v>
          </cell>
        </row>
        <row r="15">
          <cell r="A15" t="str">
            <v>Solar heating</v>
          </cell>
        </row>
        <row r="16">
          <cell r="A16" t="str">
            <v>District Heating</v>
          </cell>
        </row>
        <row r="17">
          <cell r="A17" t="str">
            <v>Electric Heater</v>
          </cell>
        </row>
        <row r="18">
          <cell r="A18" t="str">
            <v>Coal Boiler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</sheetData>
      <sheetData sheetId="11">
        <row r="11">
          <cell r="A11" t="str">
            <v>Oil Boiler</v>
          </cell>
        </row>
        <row r="12">
          <cell r="A12" t="str">
            <v>Gas Boiler</v>
          </cell>
        </row>
        <row r="13">
          <cell r="A13" t="str">
            <v>Wood Pellet Boiler</v>
          </cell>
        </row>
        <row r="14">
          <cell r="A14" t="str">
            <v>Heatpumps (brine/ground)</v>
          </cell>
        </row>
        <row r="15">
          <cell r="A15" t="str">
            <v>Oil Shale Boiler</v>
          </cell>
        </row>
        <row r="16">
          <cell r="A16" t="str">
            <v>District Heating</v>
          </cell>
        </row>
        <row r="17">
          <cell r="A17" t="str">
            <v>Electric Heater</v>
          </cell>
        </row>
        <row r="18">
          <cell r="A18" t="str">
            <v>Coal Boiler</v>
          </cell>
        </row>
        <row r="19">
          <cell r="A19" t="str">
            <v>Wood Chip Boiler</v>
          </cell>
        </row>
        <row r="20">
          <cell r="A20" t="str">
            <v xml:space="preserve">Agric. &amp; Fish. Machinery 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4">
          <cell r="E54">
            <v>0.68047125549209642</v>
          </cell>
        </row>
      </sheetData>
      <sheetData sheetId="38">
        <row r="53">
          <cell r="E53">
            <v>0.45585799507242919</v>
          </cell>
        </row>
      </sheetData>
      <sheetData sheetId="39">
        <row r="46">
          <cell r="E46">
            <v>0.77149281006163228</v>
          </cell>
        </row>
      </sheetData>
      <sheetData sheetId="40"/>
      <sheetData sheetId="41"/>
      <sheetData sheetId="42"/>
      <sheetData sheetId="43"/>
      <sheetData sheetId="44"/>
      <sheetData sheetId="45"/>
      <sheetData sheetId="46">
        <row r="11">
          <cell r="C11" t="str">
            <v>Bioenergy</v>
          </cell>
          <cell r="D11" t="str">
            <v>Fossil</v>
          </cell>
          <cell r="E11" t="str">
            <v>Primary</v>
          </cell>
          <cell r="G11" t="str">
            <v>Hydrogen</v>
          </cell>
          <cell r="J11" t="str">
            <v>Oil</v>
          </cell>
          <cell r="L11" t="str">
            <v>Dispatchable</v>
          </cell>
          <cell r="N11" t="str">
            <v>Backpressure</v>
          </cell>
          <cell r="P11" t="str">
            <v>Natural gas</v>
          </cell>
          <cell r="R11" t="str">
            <v>Stand-alone mode</v>
          </cell>
        </row>
        <row r="12">
          <cell r="C12" t="str">
            <v>Coal</v>
          </cell>
          <cell r="D12" t="str">
            <v>Renewable</v>
          </cell>
          <cell r="E12" t="str">
            <v>Secondary</v>
          </cell>
          <cell r="G12" t="str">
            <v>Ethanol</v>
          </cell>
          <cell r="J12" t="str">
            <v>Coal</v>
          </cell>
          <cell r="L12" t="str">
            <v>Undispatchable</v>
          </cell>
          <cell r="N12" t="str">
            <v>Extraction</v>
          </cell>
          <cell r="P12" t="str">
            <v>Biomass (Straw, woodwaste)</v>
          </cell>
          <cell r="R12" t="str">
            <v>Duration Curve Mode</v>
          </cell>
        </row>
        <row r="13">
          <cell r="C13" t="str">
            <v>District Heating</v>
          </cell>
          <cell r="D13" t="str">
            <v>Nuclear</v>
          </cell>
          <cell r="E13">
            <v>0</v>
          </cell>
          <cell r="G13" t="str">
            <v>Methanol</v>
          </cell>
          <cell r="J13" t="str">
            <v>Natural Gas</v>
          </cell>
          <cell r="L13">
            <v>0</v>
          </cell>
          <cell r="N13" t="str">
            <v>Condensing</v>
          </cell>
          <cell r="P13" t="str">
            <v>Biomass (Energy crops)</v>
          </cell>
        </row>
        <row r="14">
          <cell r="C14" t="str">
            <v>Electricity</v>
          </cell>
          <cell r="D14" t="str">
            <v>Energy Carrier</v>
          </cell>
          <cell r="E14">
            <v>0</v>
          </cell>
          <cell r="G14" t="str">
            <v>Biodiesel</v>
          </cell>
          <cell r="J14" t="str">
            <v>Biomass (Straw, woodwaste)</v>
          </cell>
          <cell r="L14">
            <v>0</v>
          </cell>
          <cell r="N14" t="str">
            <v>Fuel free</v>
          </cell>
          <cell r="P14" t="str">
            <v>Waste</v>
          </cell>
        </row>
        <row r="15">
          <cell r="C15" t="str">
            <v>Geothermal</v>
          </cell>
          <cell r="D15">
            <v>0</v>
          </cell>
          <cell r="E15">
            <v>0</v>
          </cell>
          <cell r="G15" t="str">
            <v/>
          </cell>
          <cell r="J15" t="str">
            <v>Biomass (Energy crops)</v>
          </cell>
          <cell r="L15">
            <v>0</v>
          </cell>
          <cell r="N15">
            <v>0</v>
          </cell>
          <cell r="P15" t="str">
            <v>Geothermal</v>
          </cell>
        </row>
        <row r="16">
          <cell r="C16" t="str">
            <v>Hydro</v>
          </cell>
          <cell r="D16">
            <v>0</v>
          </cell>
          <cell r="E16">
            <v>0</v>
          </cell>
          <cell r="G16" t="str">
            <v/>
          </cell>
          <cell r="J16" t="str">
            <v>Biogas</v>
          </cell>
          <cell r="L16">
            <v>0</v>
          </cell>
          <cell r="N16">
            <v>0</v>
          </cell>
          <cell r="P16" t="str">
            <v>Heat pump</v>
          </cell>
        </row>
        <row r="17">
          <cell r="C17" t="str">
            <v>Natural Gas</v>
          </cell>
          <cell r="D17">
            <v>0</v>
          </cell>
          <cell r="E17">
            <v>0</v>
          </cell>
          <cell r="G17" t="str">
            <v/>
          </cell>
          <cell r="J17" t="str">
            <v>Municipal Waste</v>
          </cell>
          <cell r="L17">
            <v>0</v>
          </cell>
          <cell r="N17">
            <v>0</v>
          </cell>
          <cell r="P17" t="str">
            <v>Electricity</v>
          </cell>
        </row>
        <row r="18">
          <cell r="C18" t="str">
            <v>Nuclear</v>
          </cell>
          <cell r="D18">
            <v>0</v>
          </cell>
          <cell r="E18">
            <v>0</v>
          </cell>
          <cell r="G18" t="str">
            <v/>
          </cell>
          <cell r="J18" t="str">
            <v>Wind, onshore</v>
          </cell>
          <cell r="L18">
            <v>0</v>
          </cell>
          <cell r="N18">
            <v>0</v>
          </cell>
          <cell r="P18" t="str">
            <v>Oil</v>
          </cell>
        </row>
        <row r="19">
          <cell r="C19" t="str">
            <v>Ocean</v>
          </cell>
          <cell r="D19">
            <v>0</v>
          </cell>
          <cell r="E19">
            <v>0</v>
          </cell>
          <cell r="G19" t="str">
            <v/>
          </cell>
          <cell r="J19" t="str">
            <v>Wind, offshore</v>
          </cell>
          <cell r="L19">
            <v>0</v>
          </cell>
          <cell r="N19">
            <v>0</v>
          </cell>
          <cell r="P19" t="str">
            <v>Coal</v>
          </cell>
        </row>
        <row r="20">
          <cell r="C20" t="str">
            <v>Oil</v>
          </cell>
          <cell r="D20">
            <v>0</v>
          </cell>
          <cell r="E20">
            <v>0</v>
          </cell>
          <cell r="G20" t="str">
            <v/>
          </cell>
          <cell r="J20" t="str">
            <v>Hydropower</v>
          </cell>
          <cell r="L20">
            <v>0</v>
          </cell>
          <cell r="N20">
            <v>0</v>
          </cell>
          <cell r="P20" t="str">
            <v>Solar heat</v>
          </cell>
        </row>
        <row r="21">
          <cell r="C21" t="str">
            <v>Solar</v>
          </cell>
          <cell r="D21">
            <v>0</v>
          </cell>
          <cell r="E21">
            <v>0</v>
          </cell>
          <cell r="G21" t="str">
            <v/>
          </cell>
          <cell r="J21" t="str">
            <v>Solar power</v>
          </cell>
          <cell r="L21">
            <v>0</v>
          </cell>
          <cell r="N21">
            <v>0</v>
          </cell>
          <cell r="P21">
            <v>0</v>
          </cell>
        </row>
        <row r="22">
          <cell r="C22" t="str">
            <v>Waste</v>
          </cell>
          <cell r="D22">
            <v>0</v>
          </cell>
          <cell r="E22">
            <v>0</v>
          </cell>
          <cell r="G22" t="str">
            <v/>
          </cell>
          <cell r="J22" t="str">
            <v>Nuclear</v>
          </cell>
          <cell r="L22">
            <v>0</v>
          </cell>
          <cell r="N22">
            <v>0</v>
          </cell>
          <cell r="P22">
            <v>0</v>
          </cell>
        </row>
        <row r="23">
          <cell r="C23" t="str">
            <v>Wave</v>
          </cell>
          <cell r="D23">
            <v>0</v>
          </cell>
          <cell r="E23">
            <v>0</v>
          </cell>
          <cell r="G23" t="str">
            <v/>
          </cell>
          <cell r="J23" t="str">
            <v>Geothermal</v>
          </cell>
          <cell r="L23">
            <v>0</v>
          </cell>
          <cell r="N23">
            <v>0</v>
          </cell>
          <cell r="P23">
            <v>0</v>
          </cell>
        </row>
        <row r="24">
          <cell r="C24" t="str">
            <v>Wind</v>
          </cell>
          <cell r="D24">
            <v>0</v>
          </cell>
          <cell r="E24">
            <v>0</v>
          </cell>
          <cell r="G24" t="str">
            <v/>
          </cell>
          <cell r="J24" t="str">
            <v>Wave power</v>
          </cell>
          <cell r="L24">
            <v>0</v>
          </cell>
          <cell r="N24">
            <v>0</v>
          </cell>
          <cell r="P24">
            <v>0</v>
          </cell>
        </row>
        <row r="25">
          <cell r="C25" t="str">
            <v>Chemical</v>
          </cell>
          <cell r="D25">
            <v>0</v>
          </cell>
          <cell r="E25">
            <v>0</v>
          </cell>
          <cell r="G25" t="str">
            <v/>
          </cell>
          <cell r="J25" t="str">
            <v>Natural Gas w. CCS</v>
          </cell>
          <cell r="L25">
            <v>0</v>
          </cell>
          <cell r="N25">
            <v>0</v>
          </cell>
          <cell r="P25">
            <v>0</v>
          </cell>
        </row>
        <row r="26">
          <cell r="C26" t="str">
            <v>Oil shale</v>
          </cell>
          <cell r="D26">
            <v>0</v>
          </cell>
          <cell r="E26">
            <v>0</v>
          </cell>
          <cell r="G26" t="str">
            <v/>
          </cell>
          <cell r="J26" t="str">
            <v>Coal w. CCS</v>
          </cell>
          <cell r="L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G27" t="str">
            <v/>
          </cell>
          <cell r="J27" t="str">
            <v>Old Coal</v>
          </cell>
          <cell r="L27">
            <v>0</v>
          </cell>
          <cell r="N27">
            <v>0</v>
          </cell>
          <cell r="P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G28" t="str">
            <v/>
          </cell>
          <cell r="J28" t="str">
            <v>Old Gas</v>
          </cell>
          <cell r="L28">
            <v>0</v>
          </cell>
          <cell r="N28">
            <v>0</v>
          </cell>
          <cell r="P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 t="str">
            <v/>
          </cell>
          <cell r="J29" t="str">
            <v>Biomass w. CCS</v>
          </cell>
          <cell r="N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G30" t="str">
            <v/>
          </cell>
          <cell r="J30" t="str">
            <v>Hydrogen</v>
          </cell>
          <cell r="N30">
            <v>0</v>
          </cell>
          <cell r="P30">
            <v>0</v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/>
          </cell>
        </row>
        <row r="52">
          <cell r="G52" t="str">
            <v/>
          </cell>
        </row>
        <row r="53">
          <cell r="G53" t="str">
            <v/>
          </cell>
        </row>
        <row r="54">
          <cell r="G54" t="str">
            <v/>
          </cell>
        </row>
        <row r="55">
          <cell r="G55" t="str">
            <v/>
          </cell>
        </row>
        <row r="56">
          <cell r="G56" t="str">
            <v/>
          </cell>
        </row>
        <row r="57">
          <cell r="G57" t="str">
            <v/>
          </cell>
        </row>
        <row r="58">
          <cell r="G58" t="str">
            <v/>
          </cell>
        </row>
        <row r="59">
          <cell r="G59" t="str">
            <v/>
          </cell>
        </row>
        <row r="60">
          <cell r="G60" t="str">
            <v/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  <row r="66">
          <cell r="G66" t="str">
            <v/>
          </cell>
        </row>
        <row r="67">
          <cell r="G67" t="str">
            <v/>
          </cell>
        </row>
        <row r="68">
          <cell r="G68" t="str">
            <v/>
          </cell>
        </row>
        <row r="69">
          <cell r="G69" t="str">
            <v/>
          </cell>
        </row>
        <row r="70">
          <cell r="G70" t="str">
            <v/>
          </cell>
        </row>
        <row r="71">
          <cell r="G71" t="str">
            <v/>
          </cell>
        </row>
        <row r="72">
          <cell r="G72" t="str">
            <v/>
          </cell>
        </row>
        <row r="73">
          <cell r="G73" t="str">
            <v/>
          </cell>
        </row>
        <row r="74">
          <cell r="G74" t="str">
            <v/>
          </cell>
        </row>
        <row r="75">
          <cell r="G75" t="str">
            <v/>
          </cell>
        </row>
      </sheetData>
      <sheetData sheetId="47"/>
      <sheetData sheetId="48">
        <row r="21">
          <cell r="A21" t="str">
            <v>[11]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ransport30B_VS"/>
      <sheetName val="Transport30B_EE"/>
      <sheetName val="Kytuste_hind_maksud2030"/>
      <sheetName val="Fuel data"/>
      <sheetName val="Pcar"/>
      <sheetName val="Bus"/>
      <sheetName val="Van+Lorry"/>
      <sheetName val="Lorry eco"/>
      <sheetName val="Van eco"/>
      <sheetName val="Transport30B_VSvanem"/>
      <sheetName val="Transport30B_vanem"/>
      <sheetName val="Base Year Input"/>
      <sheetName val="Index"/>
      <sheetName val="Graph summary"/>
      <sheetName val="Basic Information"/>
      <sheetName val="Sources"/>
    </sheetNames>
    <sheetDataSet>
      <sheetData sheetId="0">
        <row r="56">
          <cell r="Q56">
            <v>21180.079970592138</v>
          </cell>
          <cell r="R56">
            <v>1.4999999999999999E-2</v>
          </cell>
          <cell r="S56">
            <v>0.5</v>
          </cell>
          <cell r="T56">
            <v>0.29500000000000004</v>
          </cell>
          <cell r="U56">
            <v>0.05</v>
          </cell>
          <cell r="V56">
            <v>0.05</v>
          </cell>
          <cell r="X56">
            <v>0</v>
          </cell>
          <cell r="Z56">
            <v>0.09</v>
          </cell>
          <cell r="AA56">
            <v>1.0000000000000002</v>
          </cell>
        </row>
        <row r="57">
          <cell r="Q57">
            <v>881.21162163910833</v>
          </cell>
          <cell r="R57">
            <v>0.12</v>
          </cell>
          <cell r="S57">
            <v>0</v>
          </cell>
          <cell r="T57">
            <v>0.48000000000000009</v>
          </cell>
          <cell r="U57">
            <v>0.05</v>
          </cell>
          <cell r="V57">
            <v>0</v>
          </cell>
          <cell r="X57">
            <v>0</v>
          </cell>
          <cell r="Z57">
            <v>0.35</v>
          </cell>
          <cell r="AA57">
            <v>1</v>
          </cell>
        </row>
        <row r="58">
          <cell r="Q58">
            <v>467.21489490511459</v>
          </cell>
          <cell r="R58">
            <v>0.75</v>
          </cell>
          <cell r="S58">
            <v>0</v>
          </cell>
          <cell r="T58">
            <v>9.9999999999999978E-2</v>
          </cell>
          <cell r="U58">
            <v>0</v>
          </cell>
          <cell r="V58">
            <v>0</v>
          </cell>
          <cell r="X58">
            <v>0.15</v>
          </cell>
          <cell r="Z58">
            <v>0</v>
          </cell>
          <cell r="AA58">
            <v>1</v>
          </cell>
        </row>
        <row r="59">
          <cell r="Q59">
            <v>348.1514034414534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X59">
            <v>0</v>
          </cell>
          <cell r="Z59">
            <v>0</v>
          </cell>
          <cell r="AA59">
            <v>1</v>
          </cell>
        </row>
        <row r="60">
          <cell r="Q60">
            <v>22876.657890577815</v>
          </cell>
          <cell r="R60">
            <v>372.72397441219829</v>
          </cell>
          <cell r="S60">
            <v>10823.611878894839</v>
          </cell>
          <cell r="T60">
            <v>7057.9857504383244</v>
          </cell>
          <cell r="U60">
            <v>1130.8251369731809</v>
          </cell>
          <cell r="V60">
            <v>1082.3611878894837</v>
          </cell>
          <cell r="X60">
            <v>121.65218018284112</v>
          </cell>
          <cell r="Z60">
            <v>2287.4977817869494</v>
          </cell>
          <cell r="AA60">
            <v>22876.657890577815</v>
          </cell>
        </row>
        <row r="61"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Q63">
            <v>15914.016219021181</v>
          </cell>
          <cell r="R63">
            <v>1.4999999999999999E-2</v>
          </cell>
          <cell r="S63">
            <v>0</v>
          </cell>
          <cell r="T63">
            <v>0.73499999999999999</v>
          </cell>
          <cell r="U63">
            <v>0.1</v>
          </cell>
          <cell r="V63">
            <v>0</v>
          </cell>
          <cell r="X63">
            <v>0</v>
          </cell>
          <cell r="Z63">
            <v>0.15</v>
          </cell>
          <cell r="AA63">
            <v>1</v>
          </cell>
        </row>
        <row r="64">
          <cell r="Q64">
            <v>1306.4291928491459</v>
          </cell>
          <cell r="R64">
            <v>0.05</v>
          </cell>
          <cell r="S64">
            <v>0</v>
          </cell>
          <cell r="T64">
            <v>0.85</v>
          </cell>
          <cell r="U64">
            <v>0</v>
          </cell>
          <cell r="V64">
            <v>0</v>
          </cell>
          <cell r="X64">
            <v>0</v>
          </cell>
          <cell r="Z64">
            <v>0.1</v>
          </cell>
          <cell r="AA64">
            <v>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Q67">
            <v>17220.445411870329</v>
          </cell>
          <cell r="R67">
            <v>109.33834807624241</v>
          </cell>
          <cell r="S67">
            <v>0</v>
          </cell>
          <cell r="T67">
            <v>12665.581627377491</v>
          </cell>
          <cell r="U67">
            <v>1724.4008137522574</v>
          </cell>
          <cell r="V67">
            <v>0</v>
          </cell>
          <cell r="X67">
            <v>0</v>
          </cell>
          <cell r="Z67">
            <v>2721.1246226643375</v>
          </cell>
          <cell r="AA67">
            <v>17220.445411870329</v>
          </cell>
        </row>
        <row r="68"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Q70">
            <v>40097.103302448144</v>
          </cell>
          <cell r="R70">
            <v>2.6881978484375332E-2</v>
          </cell>
          <cell r="S70">
            <v>0.26410985116347518</v>
          </cell>
          <cell r="T70">
            <v>0.49562794218933998</v>
          </cell>
          <cell r="U70">
            <v>6.719852507024289E-2</v>
          </cell>
          <cell r="V70">
            <v>2.641098511634752E-2</v>
          </cell>
          <cell r="X70">
            <v>1.7478128957881178E-3</v>
          </cell>
          <cell r="Z70">
            <v>0.11802290508043095</v>
          </cell>
          <cell r="AA70">
            <v>1</v>
          </cell>
        </row>
        <row r="71">
          <cell r="Q71">
            <v>0</v>
          </cell>
          <cell r="R71">
            <v>482.06232248844071</v>
          </cell>
          <cell r="S71">
            <v>10823.611878894839</v>
          </cell>
          <cell r="T71">
            <v>19723.567377815816</v>
          </cell>
          <cell r="U71">
            <v>2855.2259507254385</v>
          </cell>
          <cell r="V71">
            <v>1082.3611878894837</v>
          </cell>
          <cell r="X71">
            <v>121.65218018284112</v>
          </cell>
          <cell r="Z71">
            <v>5008.6224044512874</v>
          </cell>
          <cell r="AA71">
            <v>40097.103302448144</v>
          </cell>
        </row>
      </sheetData>
      <sheetData sheetId="1">
        <row r="56">
          <cell r="C56">
            <v>23842.671263150874</v>
          </cell>
          <cell r="D56">
            <v>0.01</v>
          </cell>
          <cell r="E56">
            <v>0.6</v>
          </cell>
          <cell r="F56">
            <v>0.27</v>
          </cell>
          <cell r="G56">
            <v>0.03</v>
          </cell>
          <cell r="H56">
            <v>0.05</v>
          </cell>
          <cell r="J56">
            <v>0.04</v>
          </cell>
          <cell r="L56">
            <v>0</v>
          </cell>
          <cell r="M56">
            <v>1</v>
          </cell>
          <cell r="Q56">
            <v>15593.657020769642</v>
          </cell>
          <cell r="R56">
            <v>7.0000000000000007E-2</v>
          </cell>
          <cell r="S56">
            <v>0.3</v>
          </cell>
          <cell r="T56">
            <v>0.22999999999999998</v>
          </cell>
          <cell r="U56">
            <v>0.1</v>
          </cell>
          <cell r="V56">
            <v>0.1</v>
          </cell>
          <cell r="X56">
            <v>0</v>
          </cell>
          <cell r="Z56">
            <v>0.2</v>
          </cell>
          <cell r="AA56">
            <v>1</v>
          </cell>
        </row>
        <row r="57">
          <cell r="C57">
            <v>1053.4660729038997</v>
          </cell>
          <cell r="D57">
            <v>0.05</v>
          </cell>
          <cell r="E57">
            <v>0</v>
          </cell>
          <cell r="F57">
            <v>0.77999999999999992</v>
          </cell>
          <cell r="G57">
            <v>0.1</v>
          </cell>
          <cell r="H57">
            <v>0</v>
          </cell>
          <cell r="J57">
            <v>7.0000000000000007E-2</v>
          </cell>
          <cell r="L57">
            <v>0</v>
          </cell>
          <cell r="M57">
            <v>1</v>
          </cell>
          <cell r="Q57">
            <v>735.92109583175807</v>
          </cell>
          <cell r="R57">
            <v>0.2</v>
          </cell>
          <cell r="S57">
            <v>0</v>
          </cell>
          <cell r="T57">
            <v>0.40000000000000008</v>
          </cell>
          <cell r="U57">
            <v>0.05</v>
          </cell>
          <cell r="V57">
            <v>0</v>
          </cell>
          <cell r="X57">
            <v>0</v>
          </cell>
          <cell r="Z57">
            <v>0.35</v>
          </cell>
          <cell r="AA57">
            <v>1</v>
          </cell>
        </row>
        <row r="58">
          <cell r="C58">
            <v>438.0009191313988</v>
          </cell>
          <cell r="D58">
            <v>0.75</v>
          </cell>
          <cell r="E58">
            <v>0</v>
          </cell>
          <cell r="F58">
            <v>0.22999999999999998</v>
          </cell>
          <cell r="G58">
            <v>0</v>
          </cell>
          <cell r="H58">
            <v>0</v>
          </cell>
          <cell r="J58">
            <v>0.02</v>
          </cell>
          <cell r="L58">
            <v>0</v>
          </cell>
          <cell r="M58">
            <v>1</v>
          </cell>
          <cell r="Q58">
            <v>800.31545264908436</v>
          </cell>
          <cell r="R58">
            <v>0.8</v>
          </cell>
          <cell r="S58">
            <v>0</v>
          </cell>
          <cell r="T58">
            <v>0.19999999999999996</v>
          </cell>
          <cell r="U58">
            <v>0</v>
          </cell>
          <cell r="V58">
            <v>0</v>
          </cell>
          <cell r="X58">
            <v>0</v>
          </cell>
          <cell r="Z58">
            <v>0</v>
          </cell>
          <cell r="AA58">
            <v>1</v>
          </cell>
        </row>
        <row r="59">
          <cell r="C59">
            <v>366.47516151731935</v>
          </cell>
          <cell r="D59">
            <v>0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J59">
            <v>0</v>
          </cell>
          <cell r="L59">
            <v>0</v>
          </cell>
          <cell r="M59">
            <v>1</v>
          </cell>
          <cell r="Q59">
            <v>311.50388728972138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X59">
            <v>0</v>
          </cell>
          <cell r="Z59">
            <v>0</v>
          </cell>
          <cell r="AA59">
            <v>1</v>
          </cell>
        </row>
        <row r="60">
          <cell r="C60">
            <v>25700.613416703491</v>
          </cell>
          <cell r="D60">
            <v>316.24381720819122</v>
          </cell>
          <cell r="E60">
            <v>14572.787505404489</v>
          </cell>
          <cell r="F60">
            <v>7729.049299140007</v>
          </cell>
          <cell r="G60">
            <v>838.22647261347697</v>
          </cell>
          <cell r="H60">
            <v>1214.3989587837075</v>
          </cell>
          <cell r="J60">
            <v>1029.9073635536199</v>
          </cell>
          <cell r="L60">
            <v>0</v>
          </cell>
          <cell r="M60">
            <v>25700.613416703491</v>
          </cell>
          <cell r="Q60">
            <v>17441.397456540206</v>
          </cell>
          <cell r="R60">
            <v>853.62174082200875</v>
          </cell>
          <cell r="S60">
            <v>4916.2185111498384</v>
          </cell>
          <cell r="T60">
            <v>4769.6993436291277</v>
          </cell>
          <cell r="U60">
            <v>1682.1019844757107</v>
          </cell>
          <cell r="V60">
            <v>1638.7395037166134</v>
          </cell>
          <cell r="X60">
            <v>0</v>
          </cell>
          <cell r="Z60">
            <v>3581.016372746908</v>
          </cell>
          <cell r="AA60">
            <v>17441.397456540206</v>
          </cell>
        </row>
        <row r="61">
          <cell r="C61">
            <v>0</v>
          </cell>
          <cell r="D61" t="str">
            <v>Electricity</v>
          </cell>
          <cell r="E61" t="str">
            <v>Gasoline</v>
          </cell>
          <cell r="F61" t="str">
            <v>Diesel</v>
          </cell>
          <cell r="G61" t="str">
            <v>Natural gas</v>
          </cell>
          <cell r="H61" t="str">
            <v>Ethanol</v>
          </cell>
          <cell r="J61" t="str">
            <v>Biodiesel</v>
          </cell>
          <cell r="L61" t="str">
            <v>Biogas</v>
          </cell>
          <cell r="M61" t="str">
            <v>Total</v>
          </cell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C62" t="str">
            <v>TJ</v>
          </cell>
          <cell r="D62" t="str">
            <v>%</v>
          </cell>
          <cell r="E62" t="str">
            <v>%</v>
          </cell>
          <cell r="F62" t="str">
            <v>%</v>
          </cell>
          <cell r="G62" t="str">
            <v>%</v>
          </cell>
          <cell r="H62" t="str">
            <v>%</v>
          </cell>
          <cell r="J62" t="str">
            <v>%</v>
          </cell>
          <cell r="L62" t="str">
            <v>%</v>
          </cell>
          <cell r="M62" t="str">
            <v>%</v>
          </cell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C63">
            <v>20821.232421329951</v>
          </cell>
          <cell r="D63">
            <v>0.01</v>
          </cell>
          <cell r="E63">
            <v>0</v>
          </cell>
          <cell r="F63">
            <v>0.87</v>
          </cell>
          <cell r="G63">
            <v>0.03</v>
          </cell>
          <cell r="H63">
            <v>0</v>
          </cell>
          <cell r="J63">
            <v>0.09</v>
          </cell>
          <cell r="L63">
            <v>0</v>
          </cell>
          <cell r="M63">
            <v>1</v>
          </cell>
          <cell r="Q63">
            <v>10252.093987415503</v>
          </cell>
          <cell r="R63">
            <v>0.05</v>
          </cell>
          <cell r="S63">
            <v>0</v>
          </cell>
          <cell r="T63">
            <v>0.64999999999999991</v>
          </cell>
          <cell r="U63">
            <v>0.1</v>
          </cell>
          <cell r="V63">
            <v>0</v>
          </cell>
          <cell r="X63">
            <v>0</v>
          </cell>
          <cell r="Z63">
            <v>0.2</v>
          </cell>
          <cell r="AA63">
            <v>1</v>
          </cell>
        </row>
        <row r="64">
          <cell r="C64">
            <v>1343.5044257914299</v>
          </cell>
          <cell r="D64">
            <v>0</v>
          </cell>
          <cell r="E64">
            <v>0</v>
          </cell>
          <cell r="F64">
            <v>0.9</v>
          </cell>
          <cell r="G64">
            <v>0</v>
          </cell>
          <cell r="H64">
            <v>0</v>
          </cell>
          <cell r="J64">
            <v>0.1</v>
          </cell>
          <cell r="L64">
            <v>0</v>
          </cell>
          <cell r="M64">
            <v>1</v>
          </cell>
          <cell r="Q64">
            <v>1559.8677309909529</v>
          </cell>
          <cell r="R64">
            <v>0.05</v>
          </cell>
          <cell r="S64">
            <v>0</v>
          </cell>
          <cell r="T64">
            <v>0.85</v>
          </cell>
          <cell r="U64">
            <v>0</v>
          </cell>
          <cell r="V64">
            <v>0</v>
          </cell>
          <cell r="X64">
            <v>0</v>
          </cell>
          <cell r="Z64">
            <v>0.1</v>
          </cell>
          <cell r="AA64">
            <v>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M65">
            <v>1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M66">
            <v>1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C67">
            <v>22164.736847121381</v>
          </cell>
          <cell r="D67">
            <v>72.120300467807951</v>
          </cell>
          <cell r="E67">
            <v>0</v>
          </cell>
          <cell r="F67">
            <v>19388.134391218395</v>
          </cell>
          <cell r="G67">
            <v>689.54753271747313</v>
          </cell>
          <cell r="H67">
            <v>0</v>
          </cell>
          <cell r="J67">
            <v>2014.9346227177059</v>
          </cell>
          <cell r="L67">
            <v>0</v>
          </cell>
          <cell r="M67">
            <v>22164.736847121378</v>
          </cell>
          <cell r="Q67">
            <v>11811.961718406455</v>
          </cell>
          <cell r="R67">
            <v>224.28680123854707</v>
          </cell>
          <cell r="S67">
            <v>0</v>
          </cell>
          <cell r="T67">
            <v>8038.9029490709472</v>
          </cell>
          <cell r="U67">
            <v>1129.3839748365913</v>
          </cell>
          <cell r="V67">
            <v>0</v>
          </cell>
          <cell r="X67">
            <v>0</v>
          </cell>
          <cell r="Z67">
            <v>2419.3879932603695</v>
          </cell>
          <cell r="AA67">
            <v>11811.961718406455</v>
          </cell>
        </row>
        <row r="68">
          <cell r="C68">
            <v>0</v>
          </cell>
          <cell r="D68" t="str">
            <v>Electricity</v>
          </cell>
          <cell r="E68" t="str">
            <v>Gasoline</v>
          </cell>
          <cell r="F68" t="str">
            <v>Diesel</v>
          </cell>
          <cell r="G68" t="str">
            <v>Natural gas</v>
          </cell>
          <cell r="H68" t="str">
            <v>Ethanol</v>
          </cell>
          <cell r="J68" t="str">
            <v>Biodiesel</v>
          </cell>
          <cell r="L68" t="str">
            <v>Biogas</v>
          </cell>
          <cell r="M68" t="str">
            <v>Total</v>
          </cell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C69" t="str">
            <v>TJ</v>
          </cell>
          <cell r="D69" t="str">
            <v>%</v>
          </cell>
          <cell r="E69" t="str">
            <v>%</v>
          </cell>
          <cell r="F69" t="str">
            <v>%</v>
          </cell>
          <cell r="G69" t="str">
            <v>%</v>
          </cell>
          <cell r="H69" t="str">
            <v>%</v>
          </cell>
          <cell r="J69" t="str">
            <v>%</v>
          </cell>
          <cell r="L69">
            <v>0</v>
          </cell>
          <cell r="M69" t="str">
            <v>%</v>
          </cell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C70">
            <v>47865.350263824876</v>
          </cell>
          <cell r="D70">
            <v>1.7294619704562936E-2</v>
          </cell>
          <cell r="E70">
            <v>0.29887178677353687</v>
          </cell>
          <cell r="F70">
            <v>0.56512834840877058</v>
          </cell>
          <cell r="G70">
            <v>3.0194362098235797E-2</v>
          </cell>
          <cell r="H70">
            <v>2.4905982231128072E-2</v>
          </cell>
          <cell r="J70">
            <v>6.3604900783765697E-2</v>
          </cell>
          <cell r="L70">
            <v>0</v>
          </cell>
          <cell r="M70">
            <v>0.99999999999999989</v>
          </cell>
          <cell r="Q70">
            <v>29253.359174946661</v>
          </cell>
          <cell r="R70">
            <v>8.4420754686348604E-2</v>
          </cell>
          <cell r="S70">
            <v>0.15991657840913315</v>
          </cell>
          <cell r="T70">
            <v>0.42190796346772536</v>
          </cell>
          <cell r="U70">
            <v>8.9609235641393045E-2</v>
          </cell>
          <cell r="V70">
            <v>5.3305526136377721E-2</v>
          </cell>
          <cell r="X70">
            <v>0</v>
          </cell>
          <cell r="Z70">
            <v>0.1908399416590221</v>
          </cell>
          <cell r="AA70">
            <v>0.99999999999999989</v>
          </cell>
        </row>
        <row r="71">
          <cell r="C71">
            <v>0</v>
          </cell>
          <cell r="D71">
            <v>388.36411767599918</v>
          </cell>
          <cell r="E71">
            <v>14572.787505404489</v>
          </cell>
          <cell r="F71">
            <v>27117.183690358401</v>
          </cell>
          <cell r="G71">
            <v>1527.7740053309501</v>
          </cell>
          <cell r="H71">
            <v>1214.3989587837075</v>
          </cell>
          <cell r="J71">
            <v>3044.8419862713258</v>
          </cell>
          <cell r="L71">
            <v>0</v>
          </cell>
          <cell r="M71">
            <v>47865.350263824868</v>
          </cell>
          <cell r="Q71">
            <v>0</v>
          </cell>
          <cell r="R71">
            <v>1077.9085420605559</v>
          </cell>
          <cell r="S71">
            <v>4916.2185111498384</v>
          </cell>
          <cell r="T71">
            <v>12808.602292700074</v>
          </cell>
          <cell r="U71">
            <v>2811.4859593123019</v>
          </cell>
          <cell r="V71">
            <v>1638.7395037166134</v>
          </cell>
          <cell r="X71">
            <v>0</v>
          </cell>
          <cell r="Z71">
            <v>6000.4043660072775</v>
          </cell>
          <cell r="AA71">
            <v>29253.359174946661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Base</v>
          </cell>
          <cell r="C7">
            <v>2010</v>
          </cell>
        </row>
        <row r="8">
          <cell r="B8" t="str">
            <v>BAU30</v>
          </cell>
          <cell r="C8">
            <v>2030</v>
          </cell>
        </row>
        <row r="9">
          <cell r="B9" t="str">
            <v>EE30</v>
          </cell>
          <cell r="C9">
            <v>2030</v>
          </cell>
        </row>
        <row r="32">
          <cell r="C32">
            <v>0.05</v>
          </cell>
        </row>
        <row r="33">
          <cell r="C33">
            <v>7.45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ransportB_VS"/>
      <sheetName val="TransportB_EE"/>
      <sheetName val="Basic Information"/>
      <sheetName val="Base Year Input"/>
      <sheetName val="Kytuste_maksumus_kokku"/>
      <sheetName val="Fuel data"/>
      <sheetName val="Pcar"/>
      <sheetName val="Bus"/>
      <sheetName val="Van+Lorry"/>
      <sheetName val="Lorry eco"/>
      <sheetName val="Van eco"/>
      <sheetName val="Index"/>
      <sheetName val="Graph summary"/>
      <sheetName val="Sources"/>
      <sheetName val="Uus_Stream2020_100214"/>
    </sheetNames>
    <sheetDataSet>
      <sheetData sheetId="0">
        <row r="56">
          <cell r="Q56">
            <v>19279.204483105743</v>
          </cell>
          <cell r="R56">
            <v>1.5E-3</v>
          </cell>
          <cell r="S56">
            <v>0.63</v>
          </cell>
          <cell r="T56">
            <v>0.27850000000000008</v>
          </cell>
          <cell r="U56">
            <v>0.01</v>
          </cell>
          <cell r="V56">
            <v>0.06</v>
          </cell>
          <cell r="X56">
            <v>0</v>
          </cell>
          <cell r="Z56">
            <v>0.02</v>
          </cell>
          <cell r="AA56">
            <v>1</v>
          </cell>
        </row>
        <row r="57">
          <cell r="Q57">
            <v>1074.0328873893695</v>
          </cell>
          <cell r="R57">
            <v>1.2999999999999999E-2</v>
          </cell>
          <cell r="S57">
            <v>0</v>
          </cell>
          <cell r="T57">
            <v>0.78700000000000003</v>
          </cell>
          <cell r="U57">
            <v>0.05</v>
          </cell>
          <cell r="V57">
            <v>0</v>
          </cell>
          <cell r="X57">
            <v>0</v>
          </cell>
          <cell r="Z57">
            <v>0.15</v>
          </cell>
          <cell r="AA57">
            <v>1</v>
          </cell>
        </row>
        <row r="58">
          <cell r="Q58">
            <v>359.61941456293005</v>
          </cell>
          <cell r="R58">
            <v>0.7</v>
          </cell>
          <cell r="S58">
            <v>0</v>
          </cell>
          <cell r="T58">
            <v>0.25</v>
          </cell>
          <cell r="U58">
            <v>0</v>
          </cell>
          <cell r="V58">
            <v>0</v>
          </cell>
          <cell r="X58">
            <v>0.05</v>
          </cell>
          <cell r="Z58">
            <v>0</v>
          </cell>
          <cell r="AA58">
            <v>1</v>
          </cell>
        </row>
        <row r="59">
          <cell r="Q59">
            <v>310.73223499999995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X59">
            <v>0</v>
          </cell>
          <cell r="Z59">
            <v>0</v>
          </cell>
          <cell r="AA59">
            <v>1</v>
          </cell>
        </row>
        <row r="60">
          <cell r="Q60">
            <v>21023.589020058043</v>
          </cell>
          <cell r="R60">
            <v>190.96267995517698</v>
          </cell>
          <cell r="S60">
            <v>12358.001823078419</v>
          </cell>
          <cell r="T60">
            <v>6462.4511315584377</v>
          </cell>
          <cell r="U60">
            <v>250.40672615152283</v>
          </cell>
          <cell r="V60">
            <v>1176.952554578897</v>
          </cell>
          <cell r="X60">
            <v>29.752685377508602</v>
          </cell>
          <cell r="Z60">
            <v>555.06141935808557</v>
          </cell>
          <cell r="AA60">
            <v>21023.589020058047</v>
          </cell>
        </row>
        <row r="61"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Q63">
            <v>13073.954452660244</v>
          </cell>
          <cell r="R63">
            <v>0</v>
          </cell>
          <cell r="S63">
            <v>0</v>
          </cell>
          <cell r="T63">
            <v>0.87</v>
          </cell>
          <cell r="U63">
            <v>0.03</v>
          </cell>
          <cell r="V63">
            <v>0</v>
          </cell>
          <cell r="X63">
            <v>0.05</v>
          </cell>
          <cell r="Z63">
            <v>0.05</v>
          </cell>
          <cell r="AA63">
            <v>1</v>
          </cell>
        </row>
        <row r="64">
          <cell r="Q64">
            <v>1386.2538928338379</v>
          </cell>
          <cell r="R64">
            <v>0</v>
          </cell>
          <cell r="S64">
            <v>0</v>
          </cell>
          <cell r="T64">
            <v>0.9</v>
          </cell>
          <cell r="U64">
            <v>0</v>
          </cell>
          <cell r="V64">
            <v>0</v>
          </cell>
          <cell r="X64">
            <v>0.1</v>
          </cell>
          <cell r="Z64">
            <v>0</v>
          </cell>
          <cell r="AA64">
            <v>1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Q67">
            <v>14460.208345494082</v>
          </cell>
          <cell r="R67">
            <v>0</v>
          </cell>
          <cell r="S67">
            <v>0</v>
          </cell>
          <cell r="T67">
            <v>12531.696334715545</v>
          </cell>
          <cell r="U67">
            <v>428.0163660097104</v>
          </cell>
          <cell r="V67">
            <v>0</v>
          </cell>
          <cell r="X67">
            <v>787.1350347526419</v>
          </cell>
          <cell r="Z67">
            <v>713.36061001618407</v>
          </cell>
          <cell r="AA67">
            <v>14460.20834549408</v>
          </cell>
        </row>
        <row r="68"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Q70">
            <v>35483.797365552127</v>
          </cell>
          <cell r="R70">
            <v>8.3027986384790146E-3</v>
          </cell>
          <cell r="S70">
            <v>0.34229422232435375</v>
          </cell>
          <cell r="T70">
            <v>0.54213837653129815</v>
          </cell>
          <cell r="U70">
            <v>1.8000111887697758E-2</v>
          </cell>
          <cell r="V70">
            <v>3.2599449745176548E-2</v>
          </cell>
          <cell r="X70">
            <v>2.283588969626995E-2</v>
          </cell>
          <cell r="Z70">
            <v>3.382915117672481E-2</v>
          </cell>
          <cell r="AA70">
            <v>1</v>
          </cell>
        </row>
        <row r="71">
          <cell r="Q71">
            <v>0</v>
          </cell>
          <cell r="R71">
            <v>190.96267995517698</v>
          </cell>
          <cell r="S71">
            <v>12358.001823078419</v>
          </cell>
          <cell r="T71">
            <v>18994.147466273982</v>
          </cell>
          <cell r="U71">
            <v>678.42309216123317</v>
          </cell>
          <cell r="V71">
            <v>1176.952554578897</v>
          </cell>
          <cell r="X71">
            <v>816.88772013015046</v>
          </cell>
          <cell r="Z71">
            <v>1268.4220293742696</v>
          </cell>
          <cell r="AA71">
            <v>35483.797365552127</v>
          </cell>
        </row>
      </sheetData>
      <sheetData sheetId="1">
        <row r="56">
          <cell r="C56">
            <v>22699.089477547212</v>
          </cell>
          <cell r="D56">
            <v>0</v>
          </cell>
          <cell r="E56">
            <v>0.66</v>
          </cell>
          <cell r="F56">
            <v>0.23499999999999999</v>
          </cell>
          <cell r="G56">
            <v>5.0000000000000001E-3</v>
          </cell>
          <cell r="H56">
            <v>0.05</v>
          </cell>
          <cell r="J56">
            <v>0.05</v>
          </cell>
          <cell r="L56">
            <v>0</v>
          </cell>
          <cell r="M56">
            <v>1</v>
          </cell>
          <cell r="Q56">
            <v>18025.317594962908</v>
          </cell>
          <cell r="R56">
            <v>5.0000000000000001E-3</v>
          </cell>
          <cell r="S56">
            <v>0.6</v>
          </cell>
          <cell r="T56">
            <v>0.255</v>
          </cell>
          <cell r="U56">
            <v>0.03</v>
          </cell>
          <cell r="V56">
            <v>0.06</v>
          </cell>
          <cell r="X56">
            <v>0</v>
          </cell>
          <cell r="Z56">
            <v>0.05</v>
          </cell>
          <cell r="AA56">
            <v>1</v>
          </cell>
        </row>
        <row r="57">
          <cell r="C57">
            <v>1183.1317892377026</v>
          </cell>
          <cell r="D57">
            <v>0.01</v>
          </cell>
          <cell r="E57">
            <v>0</v>
          </cell>
          <cell r="F57">
            <v>0.92500000000000004</v>
          </cell>
          <cell r="G57">
            <v>3.5000000000000003E-2</v>
          </cell>
          <cell r="H57">
            <v>0</v>
          </cell>
          <cell r="J57">
            <v>0.03</v>
          </cell>
          <cell r="L57">
            <v>0</v>
          </cell>
          <cell r="M57">
            <v>1</v>
          </cell>
          <cell r="Q57">
            <v>1030.5141507644721</v>
          </cell>
          <cell r="R57">
            <v>1.4999999999999999E-2</v>
          </cell>
          <cell r="S57">
            <v>0</v>
          </cell>
          <cell r="T57">
            <v>0.78500000000000003</v>
          </cell>
          <cell r="U57">
            <v>0.05</v>
          </cell>
          <cell r="V57">
            <v>0</v>
          </cell>
          <cell r="X57">
            <v>0</v>
          </cell>
          <cell r="Z57">
            <v>0.15</v>
          </cell>
          <cell r="AA57">
            <v>1</v>
          </cell>
        </row>
        <row r="58">
          <cell r="C58">
            <v>414.96220377527123</v>
          </cell>
          <cell r="D58">
            <v>0.7</v>
          </cell>
          <cell r="E58">
            <v>0</v>
          </cell>
          <cell r="F58">
            <v>0.25</v>
          </cell>
          <cell r="G58">
            <v>0</v>
          </cell>
          <cell r="H58">
            <v>0</v>
          </cell>
          <cell r="J58">
            <v>0.05</v>
          </cell>
          <cell r="L58">
            <v>0</v>
          </cell>
          <cell r="M58">
            <v>1</v>
          </cell>
          <cell r="Q58">
            <v>416.65975465044636</v>
          </cell>
          <cell r="R58">
            <v>0.7</v>
          </cell>
          <cell r="S58">
            <v>0</v>
          </cell>
          <cell r="T58">
            <v>0.27</v>
          </cell>
          <cell r="U58">
            <v>0</v>
          </cell>
          <cell r="V58">
            <v>0</v>
          </cell>
          <cell r="X58">
            <v>0.03</v>
          </cell>
          <cell r="Z58">
            <v>0</v>
          </cell>
          <cell r="AA58">
            <v>1</v>
          </cell>
        </row>
        <row r="59">
          <cell r="C59">
            <v>326.68338960135617</v>
          </cell>
          <cell r="D59">
            <v>0</v>
          </cell>
          <cell r="E59">
            <v>0</v>
          </cell>
          <cell r="F59">
            <v>1</v>
          </cell>
          <cell r="G59">
            <v>0</v>
          </cell>
          <cell r="H59">
            <v>0</v>
          </cell>
          <cell r="J59">
            <v>0</v>
          </cell>
          <cell r="L59">
            <v>0</v>
          </cell>
          <cell r="M59">
            <v>1</v>
          </cell>
          <cell r="Q59">
            <v>294.01505064122051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X59">
            <v>0</v>
          </cell>
          <cell r="Z59">
            <v>0</v>
          </cell>
          <cell r="AA59">
            <v>1</v>
          </cell>
        </row>
        <row r="60">
          <cell r="C60">
            <v>24623.866860161539</v>
          </cell>
          <cell r="D60">
            <v>207.80731195651595</v>
          </cell>
          <cell r="E60">
            <v>15231.284089399347</v>
          </cell>
          <cell r="F60">
            <v>6715.5706404040693</v>
          </cell>
          <cell r="G60">
            <v>157.12426819959688</v>
          </cell>
          <cell r="H60">
            <v>1153.8851582878292</v>
          </cell>
          <cell r="J60">
            <v>1158.1953919141843</v>
          </cell>
          <cell r="L60">
            <v>0</v>
          </cell>
          <cell r="M60">
            <v>24623.866860161546</v>
          </cell>
          <cell r="Q60">
            <v>19766.506551019047</v>
          </cell>
          <cell r="R60">
            <v>235.11374288769599</v>
          </cell>
          <cell r="S60">
            <v>10958.129618342424</v>
          </cell>
          <cell r="T60">
            <v>5787.1572250004274</v>
          </cell>
          <cell r="U60">
            <v>600.03796684687018</v>
          </cell>
          <cell r="V60">
            <v>1095.8129618342425</v>
          </cell>
          <cell r="X60">
            <v>20.683110122935826</v>
          </cell>
          <cell r="Z60">
            <v>1069.5719259844491</v>
          </cell>
          <cell r="AA60">
            <v>19766.506551019043</v>
          </cell>
        </row>
        <row r="61">
          <cell r="C61">
            <v>0</v>
          </cell>
          <cell r="D61" t="str">
            <v>Electricity</v>
          </cell>
          <cell r="E61" t="str">
            <v>Gasoline</v>
          </cell>
          <cell r="F61" t="str">
            <v>Diesel</v>
          </cell>
          <cell r="G61" t="str">
            <v>Natural gas</v>
          </cell>
          <cell r="H61" t="str">
            <v>Ethanol</v>
          </cell>
          <cell r="J61" t="str">
            <v>Biodiesel</v>
          </cell>
          <cell r="L61" t="str">
            <v>Biogas</v>
          </cell>
          <cell r="M61" t="str">
            <v>Total</v>
          </cell>
          <cell r="Q61">
            <v>0</v>
          </cell>
          <cell r="R61" t="str">
            <v>Electricity</v>
          </cell>
          <cell r="S61" t="str">
            <v>Gasoline</v>
          </cell>
          <cell r="T61" t="str">
            <v>Diesel</v>
          </cell>
          <cell r="U61" t="str">
            <v>Natural gas</v>
          </cell>
          <cell r="V61" t="str">
            <v>Ethanol</v>
          </cell>
          <cell r="X61" t="str">
            <v>Biodiesel</v>
          </cell>
          <cell r="Z61" t="str">
            <v>Biogas</v>
          </cell>
          <cell r="AA61" t="str">
            <v>Total</v>
          </cell>
        </row>
        <row r="62">
          <cell r="C62" t="str">
            <v>TJ</v>
          </cell>
          <cell r="D62" t="str">
            <v>%</v>
          </cell>
          <cell r="E62" t="str">
            <v>%</v>
          </cell>
          <cell r="F62" t="str">
            <v>%</v>
          </cell>
          <cell r="G62" t="str">
            <v>%</v>
          </cell>
          <cell r="H62" t="str">
            <v>%</v>
          </cell>
          <cell r="J62" t="str">
            <v>%</v>
          </cell>
          <cell r="L62" t="str">
            <v>%</v>
          </cell>
          <cell r="M62" t="str">
            <v>%</v>
          </cell>
          <cell r="Q62" t="str">
            <v>TJ</v>
          </cell>
          <cell r="R62" t="str">
            <v>%</v>
          </cell>
          <cell r="S62" t="str">
            <v>%</v>
          </cell>
          <cell r="T62" t="str">
            <v>%</v>
          </cell>
          <cell r="U62" t="str">
            <v>%</v>
          </cell>
          <cell r="V62" t="str">
            <v>%</v>
          </cell>
          <cell r="X62" t="str">
            <v>%</v>
          </cell>
          <cell r="Z62" t="str">
            <v>%</v>
          </cell>
          <cell r="AA62" t="str">
            <v>%</v>
          </cell>
        </row>
        <row r="63">
          <cell r="C63">
            <v>14693.85274830108</v>
          </cell>
          <cell r="D63">
            <v>0</v>
          </cell>
          <cell r="E63">
            <v>0</v>
          </cell>
          <cell r="F63">
            <v>0.90500000000000003</v>
          </cell>
          <cell r="G63">
            <v>1.4999999999999999E-2</v>
          </cell>
          <cell r="H63">
            <v>0</v>
          </cell>
          <cell r="J63">
            <v>0.08</v>
          </cell>
          <cell r="L63">
            <v>0</v>
          </cell>
          <cell r="M63">
            <v>1</v>
          </cell>
          <cell r="Q63">
            <v>10009.415189776479</v>
          </cell>
          <cell r="R63">
            <v>0</v>
          </cell>
          <cell r="S63">
            <v>0</v>
          </cell>
          <cell r="T63">
            <v>0.88</v>
          </cell>
          <cell r="U63">
            <v>0.04</v>
          </cell>
          <cell r="V63">
            <v>0</v>
          </cell>
          <cell r="X63">
            <v>0</v>
          </cell>
          <cell r="Z63">
            <v>0.08</v>
          </cell>
          <cell r="AA63">
            <v>1</v>
          </cell>
        </row>
        <row r="64">
          <cell r="C64">
            <v>1324.4521055021412</v>
          </cell>
          <cell r="D64">
            <v>0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J64">
            <v>0</v>
          </cell>
          <cell r="L64">
            <v>0</v>
          </cell>
          <cell r="M64">
            <v>1</v>
          </cell>
          <cell r="Q64">
            <v>1490.8768281420519</v>
          </cell>
          <cell r="R64">
            <v>0</v>
          </cell>
          <cell r="S64">
            <v>0</v>
          </cell>
          <cell r="T64">
            <v>0.9</v>
          </cell>
          <cell r="U64">
            <v>0</v>
          </cell>
          <cell r="V64">
            <v>0</v>
          </cell>
          <cell r="X64">
            <v>0.1</v>
          </cell>
          <cell r="Z64">
            <v>0</v>
          </cell>
          <cell r="AA64">
            <v>1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1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M65">
            <v>1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0</v>
          </cell>
          <cell r="V65">
            <v>0</v>
          </cell>
          <cell r="X65">
            <v>0</v>
          </cell>
          <cell r="Z65">
            <v>0</v>
          </cell>
          <cell r="AA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1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M66">
            <v>1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0</v>
          </cell>
          <cell r="V66">
            <v>0</v>
          </cell>
          <cell r="X66">
            <v>0</v>
          </cell>
          <cell r="Z66">
            <v>0</v>
          </cell>
          <cell r="AA66">
            <v>1</v>
          </cell>
        </row>
        <row r="67">
          <cell r="C67">
            <v>16018.304853803222</v>
          </cell>
          <cell r="D67">
            <v>0</v>
          </cell>
          <cell r="E67">
            <v>0</v>
          </cell>
          <cell r="F67">
            <v>14602.471813153143</v>
          </cell>
          <cell r="G67">
            <v>242.08544218369232</v>
          </cell>
          <cell r="H67">
            <v>0</v>
          </cell>
          <cell r="J67">
            <v>1173.7475984663868</v>
          </cell>
          <cell r="L67">
            <v>0</v>
          </cell>
          <cell r="M67">
            <v>16018.304853803222</v>
          </cell>
          <cell r="Q67">
            <v>11500.292017918531</v>
          </cell>
          <cell r="R67">
            <v>0</v>
          </cell>
          <cell r="S67">
            <v>0</v>
          </cell>
          <cell r="T67">
            <v>10045.628440785655</v>
          </cell>
          <cell r="U67">
            <v>435.1919647728904</v>
          </cell>
          <cell r="V67">
            <v>0</v>
          </cell>
          <cell r="X67">
            <v>149.08768281420521</v>
          </cell>
          <cell r="Z67">
            <v>870.3839295457808</v>
          </cell>
          <cell r="AA67">
            <v>11500.292017918529</v>
          </cell>
        </row>
        <row r="68">
          <cell r="C68">
            <v>0</v>
          </cell>
          <cell r="D68" t="str">
            <v>Electricity</v>
          </cell>
          <cell r="E68" t="str">
            <v>Gasoline</v>
          </cell>
          <cell r="F68" t="str">
            <v>Diesel</v>
          </cell>
          <cell r="G68" t="str">
            <v>Natural gas</v>
          </cell>
          <cell r="H68" t="str">
            <v>Ethanol</v>
          </cell>
          <cell r="J68" t="str">
            <v>Biodiesel</v>
          </cell>
          <cell r="L68" t="str">
            <v>Biogas</v>
          </cell>
          <cell r="M68" t="str">
            <v>Total</v>
          </cell>
          <cell r="Q68">
            <v>0</v>
          </cell>
          <cell r="R68" t="str">
            <v>Electricity</v>
          </cell>
          <cell r="S68" t="str">
            <v>Gasoline</v>
          </cell>
          <cell r="T68" t="str">
            <v>Diesel</v>
          </cell>
          <cell r="U68" t="str">
            <v>Natural gas</v>
          </cell>
          <cell r="V68" t="str">
            <v>Ethanol</v>
          </cell>
          <cell r="X68" t="str">
            <v>Biodiesel</v>
          </cell>
          <cell r="Z68" t="str">
            <v>Biogas</v>
          </cell>
          <cell r="AA68" t="str">
            <v>Total</v>
          </cell>
        </row>
        <row r="69">
          <cell r="C69" t="str">
            <v>TJ</v>
          </cell>
          <cell r="D69" t="str">
            <v>%</v>
          </cell>
          <cell r="E69" t="str">
            <v>%</v>
          </cell>
          <cell r="F69" t="str">
            <v>%</v>
          </cell>
          <cell r="G69" t="str">
            <v>%</v>
          </cell>
          <cell r="H69" t="str">
            <v>%</v>
          </cell>
          <cell r="J69" t="str">
            <v>%</v>
          </cell>
          <cell r="L69">
            <v>0</v>
          </cell>
          <cell r="M69" t="str">
            <v>%</v>
          </cell>
          <cell r="Q69" t="str">
            <v>TJ</v>
          </cell>
          <cell r="R69" t="str">
            <v>%</v>
          </cell>
          <cell r="S69" t="str">
            <v>%</v>
          </cell>
          <cell r="T69" t="str">
            <v>%</v>
          </cell>
          <cell r="U69" t="str">
            <v>%</v>
          </cell>
          <cell r="V69" t="str">
            <v>%</v>
          </cell>
          <cell r="X69" t="str">
            <v>%</v>
          </cell>
          <cell r="Z69">
            <v>0</v>
          </cell>
          <cell r="AA69" t="str">
            <v>%</v>
          </cell>
        </row>
        <row r="70">
          <cell r="C70">
            <v>40642.171713964759</v>
          </cell>
          <cell r="D70">
            <v>7.4382063700398687E-3</v>
          </cell>
          <cell r="E70">
            <v>0.36861708967273299</v>
          </cell>
          <cell r="F70">
            <v>0.5285518664384552</v>
          </cell>
          <cell r="G70">
            <v>9.2345668404971923E-3</v>
          </cell>
          <cell r="H70">
            <v>2.7925537096419168E-2</v>
          </cell>
          <cell r="J70">
            <v>5.8232733581855711E-2</v>
          </cell>
          <cell r="L70">
            <v>0</v>
          </cell>
          <cell r="M70">
            <v>1.0000000000000002</v>
          </cell>
          <cell r="Q70">
            <v>31266.798568937578</v>
          </cell>
          <cell r="R70">
            <v>1.2705046460568673E-2</v>
          </cell>
          <cell r="S70">
            <v>0.34590015773863847</v>
          </cell>
          <cell r="T70">
            <v>0.51050948681555453</v>
          </cell>
          <cell r="U70">
            <v>3.1748112643817113E-2</v>
          </cell>
          <cell r="V70">
            <v>3.4590015773863843E-2</v>
          </cell>
          <cell r="X70">
            <v>5.1680211230276012E-3</v>
          </cell>
          <cell r="Z70">
            <v>5.9379159444529601E-2</v>
          </cell>
          <cell r="AA70">
            <v>1</v>
          </cell>
        </row>
        <row r="71">
          <cell r="C71">
            <v>0</v>
          </cell>
          <cell r="D71">
            <v>207.80731195651595</v>
          </cell>
          <cell r="E71">
            <v>15231.284089399347</v>
          </cell>
          <cell r="F71">
            <v>21318.042453557213</v>
          </cell>
          <cell r="G71">
            <v>399.20971038328923</v>
          </cell>
          <cell r="H71">
            <v>1153.8851582878292</v>
          </cell>
          <cell r="J71">
            <v>2331.9429903805712</v>
          </cell>
          <cell r="L71">
            <v>0</v>
          </cell>
          <cell r="M71">
            <v>40642.171713964766</v>
          </cell>
          <cell r="Q71">
            <v>0</v>
          </cell>
          <cell r="R71">
            <v>235.11374288769599</v>
          </cell>
          <cell r="S71">
            <v>10958.129618342424</v>
          </cell>
          <cell r="T71">
            <v>15832.785665786083</v>
          </cell>
          <cell r="U71">
            <v>1035.2299316197605</v>
          </cell>
          <cell r="V71">
            <v>1095.8129618342425</v>
          </cell>
          <cell r="X71">
            <v>169.77079293714104</v>
          </cell>
          <cell r="Z71">
            <v>1939.9558555302299</v>
          </cell>
          <cell r="AA71">
            <v>31266.798568937571</v>
          </cell>
        </row>
      </sheetData>
      <sheetData sheetId="2">
        <row r="7">
          <cell r="B7" t="str">
            <v>Base</v>
          </cell>
          <cell r="C7">
            <v>2010</v>
          </cell>
        </row>
        <row r="8">
          <cell r="B8" t="str">
            <v>BAU20</v>
          </cell>
          <cell r="C8">
            <v>2020</v>
          </cell>
        </row>
        <row r="9">
          <cell r="B9" t="str">
            <v>EE20</v>
          </cell>
          <cell r="C9">
            <v>2020</v>
          </cell>
        </row>
        <row r="32">
          <cell r="C32">
            <v>0.05</v>
          </cell>
        </row>
        <row r="33">
          <cell r="C33">
            <v>7.45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U"/>
      <sheetName val="TAK"/>
      <sheetName val="EE"/>
      <sheetName val="STREAM"/>
      <sheetName val="Finants"/>
      <sheetName val="TAK-BAU"/>
      <sheetName val="EE-BAU"/>
      <sheetName val="Autod"/>
      <sheetName val="Raudtee"/>
      <sheetName val="kl tervisemõju"/>
    </sheetNames>
    <sheetDataSet>
      <sheetData sheetId="0" refreshError="1"/>
      <sheetData sheetId="1" refreshError="1"/>
      <sheetData sheetId="2">
        <row r="22">
          <cell r="E22">
            <v>17.567250000000001</v>
          </cell>
        </row>
      </sheetData>
      <sheetData sheetId="3" refreshError="1"/>
      <sheetData sheetId="4">
        <row r="22">
          <cell r="D22">
            <v>1.1505447646134612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se Year Input"/>
      <sheetName val="STREAM Light"/>
      <sheetName val="Index"/>
      <sheetName val="Graph summary"/>
      <sheetName val="Basic Information"/>
      <sheetName val="Fuel data"/>
      <sheetName val="El-Tech"/>
      <sheetName val="DH-Tech"/>
      <sheetName val="Fuel Refinery-Tech"/>
      <sheetName val="Res-Tech"/>
      <sheetName val="Ter-Tech"/>
      <sheetName val="Ind-Tech"/>
      <sheetName val="Residential"/>
      <sheetName val="Tertiary"/>
      <sheetName val="Industry"/>
      <sheetName val="Transport"/>
      <sheetName val="Power and Heat"/>
      <sheetName val="Fuel shares"/>
      <sheetName val="Energy branch"/>
      <sheetName val="Electricity Demand"/>
      <sheetName val="DH Demand"/>
      <sheetName val="Energy Balance Pivot "/>
      <sheetName val="Ener. Balance Pivot Source"/>
      <sheetName val="Energy balance"/>
      <sheetName val="Data for graphs"/>
      <sheetName val="Econ Balance Sample Pivot"/>
      <sheetName val="Economic balance"/>
      <sheetName val="Eco. Balance Pivot Source"/>
      <sheetName val="Environmental balance"/>
      <sheetName val="Env. Balance Pivot Source"/>
      <sheetName val="El-Calc"/>
      <sheetName val="DH-Calc"/>
      <sheetName val="Fuel Refinery-Calc"/>
      <sheetName val="Ind-Calc"/>
      <sheetName val="Res-Calc"/>
      <sheetName val="Ark2"/>
      <sheetName val="Ter-Calc"/>
      <sheetName val="Pcar"/>
      <sheetName val="Bus"/>
      <sheetName val="Van+Lorry"/>
      <sheetName val="Van eco"/>
      <sheetName val="Lorry eco"/>
      <sheetName val="Put Stream Light data"/>
      <sheetName val="Import-Export"/>
      <sheetName val="Imp from Dur.Curve"/>
      <sheetName val="Exp to Dur.Curve"/>
      <sheetName val="Definitions"/>
      <sheetName val="AGEE graphs"/>
      <sheetName val="Sources"/>
      <sheetName val="STREAM FlowModel RefScen2020 - "/>
    </sheetNames>
    <sheetDataSet>
      <sheetData sheetId="0">
        <row r="7">
          <cell r="B7">
            <v>14972.4</v>
          </cell>
        </row>
      </sheetData>
      <sheetData sheetId="1">
        <row r="7">
          <cell r="C7" t="str">
            <v>High growth</v>
          </cell>
        </row>
      </sheetData>
      <sheetData sheetId="2"/>
      <sheetData sheetId="3"/>
      <sheetData sheetId="4">
        <row r="7">
          <cell r="B7" t="str">
            <v>Base</v>
          </cell>
        </row>
        <row r="8">
          <cell r="B8" t="str">
            <v>BAU20</v>
          </cell>
        </row>
      </sheetData>
      <sheetData sheetId="5">
        <row r="11">
          <cell r="A11" t="str">
            <v>Electricity</v>
          </cell>
        </row>
      </sheetData>
      <sheetData sheetId="6">
        <row r="12">
          <cell r="A12" t="str">
            <v>Coal Plant (incl. Peat)</v>
          </cell>
        </row>
      </sheetData>
      <sheetData sheetId="7">
        <row r="12">
          <cell r="A12" t="str">
            <v>Coal boiler</v>
          </cell>
        </row>
      </sheetData>
      <sheetData sheetId="8">
        <row r="9">
          <cell r="C9" t="str">
            <v>Investment - Refinery
[€/GJ/year]</v>
          </cell>
        </row>
      </sheetData>
      <sheetData sheetId="9">
        <row r="8">
          <cell r="C8" t="str">
            <v>Source: [4]+[5]</v>
          </cell>
        </row>
      </sheetData>
      <sheetData sheetId="10">
        <row r="8">
          <cell r="C8" t="str">
            <v>Source: [4]+[5]</v>
          </cell>
        </row>
      </sheetData>
      <sheetData sheetId="11">
        <row r="9">
          <cell r="C9" t="str">
            <v>Tech eff 
[%]</v>
          </cell>
        </row>
      </sheetData>
      <sheetData sheetId="12">
        <row r="8">
          <cell r="B8" t="str">
            <v>Fuel</v>
          </cell>
        </row>
      </sheetData>
      <sheetData sheetId="13">
        <row r="8">
          <cell r="B8" t="str">
            <v>Fuel</v>
          </cell>
        </row>
      </sheetData>
      <sheetData sheetId="14">
        <row r="8">
          <cell r="B8" t="str">
            <v>Fuel</v>
          </cell>
        </row>
      </sheetData>
      <sheetData sheetId="15">
        <row r="7">
          <cell r="B7" t="str">
            <v>Base</v>
          </cell>
        </row>
      </sheetData>
      <sheetData sheetId="16">
        <row r="7">
          <cell r="C7" t="str">
            <v>Shares</v>
          </cell>
        </row>
      </sheetData>
      <sheetData sheetId="17">
        <row r="8">
          <cell r="B8" t="str">
            <v>Production Unit</v>
          </cell>
        </row>
      </sheetData>
      <sheetData sheetId="18"/>
      <sheetData sheetId="19"/>
      <sheetData sheetId="20"/>
      <sheetData sheetId="21">
        <row r="7">
          <cell r="B7">
            <v>18.241159809735443</v>
          </cell>
        </row>
      </sheetData>
      <sheetData sheetId="22">
        <row r="1">
          <cell r="A1" t="str">
            <v>Fuel</v>
          </cell>
        </row>
      </sheetData>
      <sheetData sheetId="23"/>
      <sheetData sheetId="24"/>
      <sheetData sheetId="25">
        <row r="7">
          <cell r="B7">
            <v>0</v>
          </cell>
        </row>
      </sheetData>
      <sheetData sheetId="26"/>
      <sheetData sheetId="27">
        <row r="1">
          <cell r="A1" t="str">
            <v>Fuel</v>
          </cell>
        </row>
      </sheetData>
      <sheetData sheetId="28"/>
      <sheetData sheetId="29">
        <row r="1">
          <cell r="A1" t="str">
            <v>Fuel</v>
          </cell>
        </row>
      </sheetData>
      <sheetData sheetId="30">
        <row r="7">
          <cell r="C7" t="str">
            <v>Energy</v>
          </cell>
        </row>
      </sheetData>
      <sheetData sheetId="31">
        <row r="7">
          <cell r="C7" t="str">
            <v>Energy</v>
          </cell>
        </row>
      </sheetData>
      <sheetData sheetId="32">
        <row r="8">
          <cell r="B8" t="str">
            <v>Fuel consumption in all sectors [PJ]</v>
          </cell>
        </row>
      </sheetData>
      <sheetData sheetId="33">
        <row r="7">
          <cell r="C7" t="str">
            <v>Energy</v>
          </cell>
        </row>
      </sheetData>
      <sheetData sheetId="34">
        <row r="7">
          <cell r="C7" t="str">
            <v>Energy</v>
          </cell>
        </row>
      </sheetData>
      <sheetData sheetId="35">
        <row r="7">
          <cell r="B7">
            <v>3</v>
          </cell>
        </row>
      </sheetData>
      <sheetData sheetId="36">
        <row r="7">
          <cell r="C7" t="str">
            <v>Energy</v>
          </cell>
        </row>
      </sheetData>
      <sheetData sheetId="37">
        <row r="7">
          <cell r="B7" t="str">
            <v>Ekskl.
afgift</v>
          </cell>
        </row>
      </sheetData>
      <sheetData sheetId="38">
        <row r="7">
          <cell r="B7" t="str">
            <v>diesel</v>
          </cell>
        </row>
      </sheetData>
      <sheetData sheetId="39">
        <row r="8">
          <cell r="B8">
            <v>6350</v>
          </cell>
        </row>
      </sheetData>
      <sheetData sheetId="40">
        <row r="7">
          <cell r="B7">
            <v>4.5</v>
          </cell>
        </row>
      </sheetData>
      <sheetData sheetId="41">
        <row r="7">
          <cell r="B7">
            <v>12</v>
          </cell>
        </row>
      </sheetData>
      <sheetData sheetId="42">
        <row r="7">
          <cell r="B7" t="str">
            <v>STREAM Light</v>
          </cell>
        </row>
      </sheetData>
      <sheetData sheetId="43">
        <row r="7">
          <cell r="B7" t="str">
            <v>Flow Model</v>
          </cell>
        </row>
      </sheetData>
      <sheetData sheetId="44">
        <row r="8">
          <cell r="B8" t="str">
            <v>Electricity  and 
CHP Production</v>
          </cell>
        </row>
      </sheetData>
      <sheetData sheetId="45"/>
      <sheetData sheetId="46">
        <row r="7">
          <cell r="B7" t="str">
            <v>Name</v>
          </cell>
        </row>
      </sheetData>
      <sheetData sheetId="47">
        <row r="7">
          <cell r="C7" t="str">
            <v>Base 2010</v>
          </cell>
        </row>
      </sheetData>
      <sheetData sheetId="48">
        <row r="21">
          <cell r="A21" t="str">
            <v>[11]</v>
          </cell>
        </row>
      </sheetData>
      <sheetData sheetId="4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etmed_maksumustega_2030"/>
      <sheetName val="Meetmete_kulud_tuludaruandesse"/>
    </sheetNames>
    <sheetDataSet>
      <sheetData sheetId="0">
        <row r="87">
          <cell r="P87" t="str">
            <v>Kulud/a</v>
          </cell>
          <cell r="S87" t="str">
            <v>Maksu-tulu</v>
          </cell>
          <cell r="V87" t="str">
            <v>Kulud/a</v>
          </cell>
          <cell r="Y87" t="str">
            <v>Maksu-tulu</v>
          </cell>
          <cell r="AB87" t="str">
            <v>Kulud/a</v>
          </cell>
          <cell r="AE87" t="str">
            <v>Maksu-tulu</v>
          </cell>
        </row>
        <row r="88">
          <cell r="A88">
            <v>1</v>
          </cell>
          <cell r="B88" t="str">
            <v>Kilomeetripõhised autode teekasutustasud</v>
          </cell>
          <cell r="P88">
            <v>50000</v>
          </cell>
          <cell r="Q88">
            <v>193900</v>
          </cell>
          <cell r="R88">
            <v>58900</v>
          </cell>
          <cell r="S88">
            <v>250000</v>
          </cell>
          <cell r="U88">
            <v>0.3</v>
          </cell>
          <cell r="V88">
            <v>15000</v>
          </cell>
          <cell r="W88">
            <v>58200</v>
          </cell>
          <cell r="X88">
            <v>17700</v>
          </cell>
          <cell r="Y88">
            <v>75000</v>
          </cell>
          <cell r="AA88">
            <v>1</v>
          </cell>
          <cell r="AB88">
            <v>37000</v>
          </cell>
          <cell r="AC88">
            <v>193900</v>
          </cell>
          <cell r="AD88">
            <v>58900</v>
          </cell>
          <cell r="AE88">
            <v>177000</v>
          </cell>
        </row>
        <row r="89">
          <cell r="A89">
            <v>1.1000000000000001</v>
          </cell>
          <cell r="B89" t="str">
            <v xml:space="preserve"> Raskeveokite teekasutustasud</v>
          </cell>
          <cell r="P89">
            <v>12000</v>
          </cell>
          <cell r="Q89">
            <v>10000</v>
          </cell>
          <cell r="R89">
            <v>3200</v>
          </cell>
          <cell r="S89">
            <v>60000</v>
          </cell>
          <cell r="U89">
            <v>1</v>
          </cell>
          <cell r="V89">
            <v>12000</v>
          </cell>
          <cell r="W89">
            <v>10000</v>
          </cell>
          <cell r="X89">
            <v>3200</v>
          </cell>
          <cell r="Y89">
            <v>60000</v>
          </cell>
          <cell r="AA89">
            <v>1</v>
          </cell>
          <cell r="AB89">
            <v>12000</v>
          </cell>
          <cell r="AC89">
            <v>10000</v>
          </cell>
          <cell r="AD89">
            <v>3200</v>
          </cell>
          <cell r="AE89">
            <v>60000</v>
          </cell>
        </row>
        <row r="90">
          <cell r="A90">
            <v>2</v>
          </cell>
          <cell r="B90" t="str">
            <v xml:space="preserve"> Kütuseaktsiisi tõstmine</v>
          </cell>
          <cell r="P90">
            <v>0</v>
          </cell>
          <cell r="Q90">
            <v>40500</v>
          </cell>
          <cell r="R90">
            <v>12600</v>
          </cell>
          <cell r="S90">
            <v>70000</v>
          </cell>
          <cell r="U90">
            <v>0.3</v>
          </cell>
          <cell r="V90">
            <v>0</v>
          </cell>
          <cell r="W90">
            <v>12100</v>
          </cell>
          <cell r="X90">
            <v>3800</v>
          </cell>
          <cell r="Y90">
            <v>21000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>
            <v>3</v>
          </cell>
          <cell r="B91" t="str">
            <v>Linnade parkimispoliitika uuendamine</v>
          </cell>
          <cell r="P91">
            <v>2400</v>
          </cell>
          <cell r="Q91">
            <v>42900</v>
          </cell>
          <cell r="R91">
            <v>14700</v>
          </cell>
          <cell r="S91">
            <v>24000</v>
          </cell>
          <cell r="U91">
            <v>0.1</v>
          </cell>
          <cell r="V91">
            <v>200</v>
          </cell>
          <cell r="W91">
            <v>4300</v>
          </cell>
          <cell r="X91">
            <v>1500</v>
          </cell>
          <cell r="Y91">
            <v>2400</v>
          </cell>
          <cell r="AA91">
            <v>1</v>
          </cell>
          <cell r="AB91">
            <v>2400</v>
          </cell>
          <cell r="AC91">
            <v>42900</v>
          </cell>
          <cell r="AD91">
            <v>14700</v>
          </cell>
          <cell r="AE91">
            <v>24000</v>
          </cell>
        </row>
        <row r="92">
          <cell r="A92">
            <v>4</v>
          </cell>
          <cell r="B92" t="str">
            <v>Ummikumaks Tallinnas</v>
          </cell>
          <cell r="P92">
            <v>13000</v>
          </cell>
          <cell r="Q92">
            <v>47400</v>
          </cell>
          <cell r="R92">
            <v>14700</v>
          </cell>
          <cell r="S92">
            <v>73000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1</v>
          </cell>
          <cell r="AB92">
            <v>13000</v>
          </cell>
          <cell r="AC92">
            <v>47400</v>
          </cell>
          <cell r="AD92">
            <v>14700</v>
          </cell>
          <cell r="AE92">
            <v>73000</v>
          </cell>
        </row>
        <row r="93">
          <cell r="A93">
            <v>5</v>
          </cell>
          <cell r="B93" t="str">
            <v>Ühistranspordi teenuse arendamine</v>
          </cell>
          <cell r="P93">
            <v>16400</v>
          </cell>
          <cell r="Q93">
            <v>51790</v>
          </cell>
          <cell r="R93">
            <v>15600</v>
          </cell>
          <cell r="S93">
            <v>0</v>
          </cell>
          <cell r="U93">
            <v>0.5</v>
          </cell>
          <cell r="V93">
            <v>8200</v>
          </cell>
          <cell r="W93">
            <v>25900</v>
          </cell>
          <cell r="X93">
            <v>7800</v>
          </cell>
          <cell r="Y93">
            <v>0</v>
          </cell>
          <cell r="AA93">
            <v>1</v>
          </cell>
          <cell r="AB93">
            <v>16400</v>
          </cell>
          <cell r="AC93">
            <v>51800</v>
          </cell>
          <cell r="AD93">
            <v>15600</v>
          </cell>
          <cell r="AE93">
            <v>0</v>
          </cell>
        </row>
        <row r="94">
          <cell r="A94">
            <v>6</v>
          </cell>
          <cell r="B94" t="str">
            <v>Kergliikluse arend.</v>
          </cell>
          <cell r="P94">
            <v>13900</v>
          </cell>
          <cell r="Q94">
            <v>13800</v>
          </cell>
          <cell r="R94">
            <v>4200</v>
          </cell>
          <cell r="S94">
            <v>0</v>
          </cell>
          <cell r="U94">
            <v>0.5</v>
          </cell>
          <cell r="V94">
            <v>7000</v>
          </cell>
          <cell r="W94">
            <v>6900</v>
          </cell>
          <cell r="X94">
            <v>2100</v>
          </cell>
          <cell r="Y94">
            <v>0</v>
          </cell>
          <cell r="AA94">
            <v>1</v>
          </cell>
          <cell r="AB94">
            <v>13900</v>
          </cell>
          <cell r="AC94">
            <v>13800</v>
          </cell>
          <cell r="AD94">
            <v>4200</v>
          </cell>
          <cell r="AE94">
            <v>0</v>
          </cell>
        </row>
        <row r="95">
          <cell r="A95">
            <v>7</v>
          </cell>
          <cell r="B95" t="str">
            <v>Maakasutuse suunamine</v>
          </cell>
          <cell r="P95">
            <v>10000</v>
          </cell>
          <cell r="Q95">
            <v>109800</v>
          </cell>
          <cell r="R95">
            <v>33700</v>
          </cell>
          <cell r="S95">
            <v>0</v>
          </cell>
          <cell r="U95">
            <v>0.3</v>
          </cell>
          <cell r="V95">
            <v>3000</v>
          </cell>
          <cell r="W95">
            <v>33000</v>
          </cell>
          <cell r="X95">
            <v>10100</v>
          </cell>
          <cell r="Y95">
            <v>0</v>
          </cell>
          <cell r="AA95">
            <v>1</v>
          </cell>
          <cell r="AB95">
            <v>10000</v>
          </cell>
          <cell r="AC95">
            <v>109800</v>
          </cell>
          <cell r="AD95">
            <v>33700</v>
          </cell>
          <cell r="AE95">
            <v>0</v>
          </cell>
        </row>
        <row r="96">
          <cell r="A96">
            <v>8</v>
          </cell>
          <cell r="B96" t="str">
            <v>Linnatänavate ümberkorrald.</v>
          </cell>
          <cell r="P96">
            <v>4100</v>
          </cell>
          <cell r="Q96">
            <v>35800</v>
          </cell>
          <cell r="R96">
            <v>10800</v>
          </cell>
          <cell r="S96">
            <v>0</v>
          </cell>
          <cell r="U96">
            <v>0.3</v>
          </cell>
          <cell r="V96">
            <v>1200</v>
          </cell>
          <cell r="W96">
            <v>10700</v>
          </cell>
          <cell r="X96">
            <v>3300</v>
          </cell>
          <cell r="Y96">
            <v>0</v>
          </cell>
          <cell r="AA96">
            <v>1</v>
          </cell>
          <cell r="AB96">
            <v>4100</v>
          </cell>
          <cell r="AC96">
            <v>35800</v>
          </cell>
          <cell r="AD96">
            <v>10800</v>
          </cell>
          <cell r="AE96">
            <v>0</v>
          </cell>
        </row>
        <row r="97">
          <cell r="A97">
            <v>9</v>
          </cell>
          <cell r="B97" t="str">
            <v>Linnade ja ettevõtete liikuvuskorraldus</v>
          </cell>
          <cell r="P97">
            <v>200</v>
          </cell>
          <cell r="Q97">
            <v>7600</v>
          </cell>
          <cell r="R97">
            <v>2300</v>
          </cell>
          <cell r="S97">
            <v>0</v>
          </cell>
          <cell r="U97">
            <v>0.5</v>
          </cell>
          <cell r="V97">
            <v>100</v>
          </cell>
          <cell r="W97">
            <v>3800</v>
          </cell>
          <cell r="X97">
            <v>1200</v>
          </cell>
          <cell r="Y97">
            <v>0</v>
          </cell>
          <cell r="AA97">
            <v>1</v>
          </cell>
          <cell r="AB97">
            <v>200</v>
          </cell>
          <cell r="AC97">
            <v>7600</v>
          </cell>
          <cell r="AD97">
            <v>2300</v>
          </cell>
          <cell r="AE97">
            <v>0</v>
          </cell>
        </row>
        <row r="98">
          <cell r="A98">
            <v>10</v>
          </cell>
          <cell r="B98" t="str">
            <v xml:space="preserve"> Kaugtöötamise arendamine</v>
          </cell>
          <cell r="P98">
            <v>0</v>
          </cell>
          <cell r="Q98">
            <v>32100</v>
          </cell>
          <cell r="R98">
            <v>9700</v>
          </cell>
          <cell r="S98">
            <v>0</v>
          </cell>
          <cell r="U98">
            <v>0.5</v>
          </cell>
          <cell r="V98">
            <v>0</v>
          </cell>
          <cell r="W98">
            <v>16000</v>
          </cell>
          <cell r="X98">
            <v>4900</v>
          </cell>
          <cell r="Y98">
            <v>0</v>
          </cell>
          <cell r="AA98">
            <v>1</v>
          </cell>
          <cell r="AB98">
            <v>0</v>
          </cell>
          <cell r="AC98">
            <v>32100</v>
          </cell>
          <cell r="AD98">
            <v>9700</v>
          </cell>
          <cell r="AE98">
            <v>0</v>
          </cell>
        </row>
        <row r="99">
          <cell r="A99">
            <v>11</v>
          </cell>
          <cell r="B99" t="str">
            <v>Autode kooskasutus</v>
          </cell>
          <cell r="P99">
            <v>100</v>
          </cell>
          <cell r="Q99">
            <v>7300</v>
          </cell>
          <cell r="R99">
            <v>2200</v>
          </cell>
          <cell r="S99">
            <v>0</v>
          </cell>
          <cell r="U99">
            <v>0.5</v>
          </cell>
          <cell r="V99">
            <v>100</v>
          </cell>
          <cell r="W99">
            <v>3700</v>
          </cell>
          <cell r="X99">
            <v>1100</v>
          </cell>
          <cell r="Y99">
            <v>0</v>
          </cell>
          <cell r="AA99">
            <v>1</v>
          </cell>
          <cell r="AB99">
            <v>100</v>
          </cell>
          <cell r="AC99">
            <v>7300</v>
          </cell>
          <cell r="AD99">
            <v>2200</v>
          </cell>
          <cell r="AE99">
            <v>0</v>
          </cell>
        </row>
        <row r="100">
          <cell r="A100">
            <v>12</v>
          </cell>
          <cell r="B100" t="str">
            <v>Energiasäästlike autode soodustused</v>
          </cell>
          <cell r="P100">
            <v>5600</v>
          </cell>
          <cell r="Q100">
            <v>2500</v>
          </cell>
          <cell r="R100">
            <v>700</v>
          </cell>
          <cell r="S100">
            <v>0</v>
          </cell>
          <cell r="U100">
            <v>0.5</v>
          </cell>
          <cell r="V100">
            <v>2800</v>
          </cell>
          <cell r="W100">
            <v>1200</v>
          </cell>
          <cell r="X100">
            <v>400</v>
          </cell>
          <cell r="Y100">
            <v>0</v>
          </cell>
          <cell r="AA100">
            <v>0.1</v>
          </cell>
          <cell r="AB100">
            <v>600</v>
          </cell>
          <cell r="AC100">
            <v>200</v>
          </cell>
          <cell r="AD100">
            <v>100</v>
          </cell>
          <cell r="AE100">
            <v>0</v>
          </cell>
        </row>
        <row r="101">
          <cell r="A101">
            <v>13</v>
          </cell>
          <cell r="B101" t="str">
            <v>Energiaklassipõhine autode maksustamine</v>
          </cell>
          <cell r="P101">
            <v>0</v>
          </cell>
          <cell r="Q101">
            <v>64200</v>
          </cell>
          <cell r="R101">
            <v>19400</v>
          </cell>
          <cell r="S101">
            <v>70000</v>
          </cell>
          <cell r="U101">
            <v>0.25</v>
          </cell>
          <cell r="V101">
            <v>0</v>
          </cell>
          <cell r="W101">
            <v>16000</v>
          </cell>
          <cell r="X101">
            <v>4900</v>
          </cell>
          <cell r="Y101">
            <v>17500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>
            <v>14</v>
          </cell>
          <cell r="B102" t="str">
            <v>Raudtee elektr.</v>
          </cell>
          <cell r="P102">
            <v>6000</v>
          </cell>
          <cell r="Q102">
            <v>10000</v>
          </cell>
          <cell r="R102">
            <v>1200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1</v>
          </cell>
          <cell r="AB102">
            <v>6000</v>
          </cell>
          <cell r="AC102">
            <v>10000</v>
          </cell>
          <cell r="AD102">
            <v>1200</v>
          </cell>
          <cell r="AE102">
            <v>0</v>
          </cell>
        </row>
        <row r="103">
          <cell r="A103">
            <v>15</v>
          </cell>
          <cell r="B103" t="str">
            <v>Raudtee 160 kmh, Rail Baltic</v>
          </cell>
          <cell r="P103">
            <v>29400</v>
          </cell>
          <cell r="Q103">
            <v>25600</v>
          </cell>
          <cell r="R103">
            <v>8200</v>
          </cell>
          <cell r="S103">
            <v>0</v>
          </cell>
          <cell r="U103">
            <v>1</v>
          </cell>
          <cell r="V103">
            <v>29400</v>
          </cell>
          <cell r="W103">
            <v>25600</v>
          </cell>
          <cell r="X103">
            <v>8200</v>
          </cell>
          <cell r="Y103">
            <v>0</v>
          </cell>
          <cell r="AA103">
            <v>0.5</v>
          </cell>
          <cell r="AB103">
            <v>14700</v>
          </cell>
          <cell r="AC103">
            <v>12800</v>
          </cell>
          <cell r="AD103">
            <v>4100</v>
          </cell>
          <cell r="AE103">
            <v>0</v>
          </cell>
        </row>
        <row r="104">
          <cell r="A104">
            <v>16</v>
          </cell>
          <cell r="B104" t="str">
            <v>Kütusesäästlikud bussid</v>
          </cell>
          <cell r="P104">
            <v>3900</v>
          </cell>
          <cell r="Q104">
            <v>600</v>
          </cell>
          <cell r="R104">
            <v>200</v>
          </cell>
          <cell r="S104">
            <v>0</v>
          </cell>
          <cell r="U104">
            <v>1</v>
          </cell>
          <cell r="V104">
            <v>3900</v>
          </cell>
          <cell r="W104">
            <v>600</v>
          </cell>
          <cell r="X104">
            <v>200</v>
          </cell>
          <cell r="Y104">
            <v>0</v>
          </cell>
          <cell r="AA104">
            <v>1</v>
          </cell>
          <cell r="AB104">
            <v>3900</v>
          </cell>
          <cell r="AC104">
            <v>600</v>
          </cell>
          <cell r="AD104">
            <v>200</v>
          </cell>
          <cell r="AE104">
            <v>0</v>
          </cell>
        </row>
        <row r="105">
          <cell r="A105">
            <v>17</v>
          </cell>
          <cell r="B105" t="str">
            <v>Kütusesäästlikud veoautod</v>
          </cell>
          <cell r="P105">
            <v>7700</v>
          </cell>
          <cell r="Q105">
            <v>19900</v>
          </cell>
          <cell r="R105">
            <v>7700</v>
          </cell>
          <cell r="S105">
            <v>0</v>
          </cell>
          <cell r="U105">
            <v>0.5</v>
          </cell>
          <cell r="V105">
            <v>3900</v>
          </cell>
          <cell r="W105">
            <v>9900</v>
          </cell>
          <cell r="X105">
            <v>3800</v>
          </cell>
          <cell r="Y105">
            <v>0</v>
          </cell>
          <cell r="AA105">
            <v>1</v>
          </cell>
          <cell r="AB105">
            <v>7700</v>
          </cell>
          <cell r="AC105">
            <v>19900</v>
          </cell>
          <cell r="AD105">
            <v>7700</v>
          </cell>
          <cell r="AE105">
            <v>0</v>
          </cell>
        </row>
        <row r="106">
          <cell r="A106">
            <v>18</v>
          </cell>
          <cell r="B106" t="str">
            <v>Kütusesäästlikud vedurid</v>
          </cell>
          <cell r="P106">
            <v>5800</v>
          </cell>
          <cell r="Q106">
            <v>3300</v>
          </cell>
          <cell r="R106">
            <v>500</v>
          </cell>
          <cell r="S106">
            <v>0</v>
          </cell>
          <cell r="U106">
            <v>0.3</v>
          </cell>
          <cell r="V106">
            <v>1700</v>
          </cell>
          <cell r="W106">
            <v>1000</v>
          </cell>
          <cell r="X106">
            <v>100</v>
          </cell>
          <cell r="Y106">
            <v>0</v>
          </cell>
          <cell r="AA106">
            <v>0.5</v>
          </cell>
          <cell r="AB106">
            <v>2900</v>
          </cell>
          <cell r="AC106">
            <v>1700</v>
          </cell>
          <cell r="AD106">
            <v>200</v>
          </cell>
          <cell r="AE106">
            <v>0</v>
          </cell>
        </row>
        <row r="107">
          <cell r="A107">
            <v>19</v>
          </cell>
          <cell r="B107" t="str">
            <v>Säästva sõiduviisi rakendamine</v>
          </cell>
          <cell r="P107">
            <v>100</v>
          </cell>
          <cell r="Q107">
            <v>48500</v>
          </cell>
          <cell r="R107">
            <v>9700</v>
          </cell>
          <cell r="S107">
            <v>0</v>
          </cell>
          <cell r="U107">
            <v>0.75</v>
          </cell>
          <cell r="V107">
            <v>100</v>
          </cell>
          <cell r="W107">
            <v>36400</v>
          </cell>
          <cell r="X107">
            <v>7300</v>
          </cell>
          <cell r="Y107">
            <v>0</v>
          </cell>
          <cell r="AA107">
            <v>1</v>
          </cell>
          <cell r="AB107">
            <v>100</v>
          </cell>
          <cell r="AC107">
            <v>48500</v>
          </cell>
          <cell r="AD107">
            <v>9700</v>
          </cell>
          <cell r="AE107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eetmed_maksumustegaNOV0813"/>
      <sheetName val="Meetmed_lyhidalt"/>
      <sheetName val="Maksumus260913"/>
      <sheetName val="3 Koond_Sorteeritud_STSEN"/>
      <sheetName val="4 Meetmed_arvutused"/>
      <sheetName val="TJ_kytusehinnad"/>
      <sheetName val="Kytuste_hind_maksud2030"/>
      <sheetName val="Valiskulud"/>
      <sheetName val="väliskulud_kvalit"/>
      <sheetName val="Sisukord"/>
      <sheetName val="kirjandusallikad"/>
      <sheetName val="Maksumus_Raudtee jt meetmed"/>
      <sheetName val="1 Meetmete eeldused"/>
      <sheetName val="2 Stream_stsenaariumid_KM_TJ"/>
      <sheetName val="5 Energiatarve_yhikud_osakaalud"/>
      <sheetName val="3 Meetmed2020Koond"/>
      <sheetName val="Mõju energiatarb"/>
      <sheetName val="Pehmed_meetmed"/>
      <sheetName val="Maksumeetmed"/>
      <sheetName val="Tehnoloogilised "/>
      <sheetName val="Infrastruktuur"/>
      <sheetName val="Planeerimine"/>
      <sheetName val="BAU"/>
      <sheetName val="Sekkuv_PP_Linnad"/>
      <sheetName val="TAK_teooria"/>
      <sheetName val="Sekkuv_tehno"/>
      <sheetName val="Konvert"/>
      <sheetName val="3.a Meetmed_maksumus"/>
      <sheetName val="Meetmete_tohusus"/>
      <sheetName val="veokite_TJsuhted"/>
      <sheetName val="Tarbimine2000-2011joonis"/>
      <sheetName val="6 Kokku_TJ"/>
      <sheetName val="6.j Jagunemine_kytus_koht_liik"/>
      <sheetName val="6.1 Linna_TJ"/>
      <sheetName val="6.2 Maa_TJ"/>
      <sheetName val="6.3 Kiirtee_TJ"/>
      <sheetName val="8.1 Linna_KM_Osakaal"/>
      <sheetName val="8.2 Maa_KM_osakaal"/>
      <sheetName val="8.3 Kiirtee_KM_osakaal"/>
      <sheetName val="6.j jagunemine vanus"/>
      <sheetName val="9.1Soidukipark"/>
      <sheetName val="9.2 Läbisõit_koond"/>
      <sheetName val="9.3LäbisõitCopert"/>
      <sheetName val="Tarbimine2000-2011liigiti"/>
      <sheetName val="Läbisõit_maakonniti"/>
    </sheetNames>
    <sheetDataSet>
      <sheetData sheetId="0"/>
      <sheetData sheetId="1"/>
      <sheetData sheetId="2">
        <row r="12">
          <cell r="C12">
            <v>16280000</v>
          </cell>
        </row>
        <row r="21">
          <cell r="D21">
            <v>120</v>
          </cell>
        </row>
        <row r="28">
          <cell r="D28">
            <v>140000</v>
          </cell>
        </row>
        <row r="35">
          <cell r="D35">
            <v>150000</v>
          </cell>
        </row>
        <row r="43">
          <cell r="D43">
            <v>310</v>
          </cell>
        </row>
        <row r="53">
          <cell r="D53">
            <v>328</v>
          </cell>
        </row>
        <row r="71">
          <cell r="B71">
            <v>4.1000000000000005</v>
          </cell>
        </row>
        <row r="78">
          <cell r="B78">
            <v>13.926666666666666</v>
          </cell>
        </row>
        <row r="115">
          <cell r="B115">
            <v>2600</v>
          </cell>
        </row>
      </sheetData>
      <sheetData sheetId="3">
        <row r="5">
          <cell r="P5">
            <v>1435.318111294963</v>
          </cell>
          <cell r="Q5">
            <v>4784.3937043165433</v>
          </cell>
          <cell r="R5">
            <v>0</v>
          </cell>
          <cell r="S5">
            <v>0</v>
          </cell>
        </row>
        <row r="6">
          <cell r="P6">
            <v>861.17210401645559</v>
          </cell>
          <cell r="Q6">
            <v>2870.573680054852</v>
          </cell>
          <cell r="R6">
            <v>0.1</v>
          </cell>
          <cell r="S6">
            <v>0.33</v>
          </cell>
        </row>
        <row r="7">
          <cell r="P7">
            <v>417.24674710514034</v>
          </cell>
          <cell r="Q7">
            <v>0</v>
          </cell>
          <cell r="R7">
            <v>0.25</v>
          </cell>
          <cell r="S7">
            <v>0.75</v>
          </cell>
        </row>
        <row r="8"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P9">
            <v>662.60683424933086</v>
          </cell>
          <cell r="Q9">
            <v>1325.2136684986617</v>
          </cell>
          <cell r="R9">
            <v>0.5</v>
          </cell>
          <cell r="S9">
            <v>1</v>
          </cell>
        </row>
        <row r="10">
          <cell r="P10">
            <v>1028.6408195411566</v>
          </cell>
          <cell r="Q10">
            <v>1371.5210927215421</v>
          </cell>
          <cell r="R10">
            <v>0.75</v>
          </cell>
          <cell r="S10">
            <v>1</v>
          </cell>
        </row>
        <row r="11">
          <cell r="P11">
            <v>111.58370151154595</v>
          </cell>
          <cell r="Q11">
            <v>1115.8370151154595</v>
          </cell>
          <cell r="R11">
            <v>0.1</v>
          </cell>
          <cell r="S11">
            <v>0.5</v>
          </cell>
        </row>
        <row r="12">
          <cell r="P12">
            <v>0</v>
          </cell>
          <cell r="Q12">
            <v>1280.5725261666421</v>
          </cell>
          <cell r="R12">
            <v>0</v>
          </cell>
          <cell r="S12">
            <v>1</v>
          </cell>
        </row>
        <row r="13">
          <cell r="P13">
            <v>342.88027318038547</v>
          </cell>
          <cell r="Q13">
            <v>0</v>
          </cell>
          <cell r="R13">
            <v>0.5</v>
          </cell>
          <cell r="S13">
            <v>0</v>
          </cell>
        </row>
        <row r="14">
          <cell r="P14">
            <v>278.95925377886522</v>
          </cell>
          <cell r="Q14">
            <v>929.86417926288414</v>
          </cell>
          <cell r="R14">
            <v>0.3</v>
          </cell>
          <cell r="S14">
            <v>0.75</v>
          </cell>
        </row>
        <row r="15">
          <cell r="P15">
            <v>417.24674710514034</v>
          </cell>
          <cell r="Q15">
            <v>834.49349421028069</v>
          </cell>
          <cell r="R15">
            <v>0.5</v>
          </cell>
          <cell r="S15">
            <v>1</v>
          </cell>
        </row>
        <row r="16">
          <cell r="P16">
            <v>1221.0707430090461</v>
          </cell>
          <cell r="Q16">
            <v>610.53537150452303</v>
          </cell>
          <cell r="R16">
            <v>0</v>
          </cell>
          <cell r="S16">
            <v>0</v>
          </cell>
        </row>
        <row r="17">
          <cell r="P17">
            <v>0</v>
          </cell>
          <cell r="Q17">
            <v>459.10898662120456</v>
          </cell>
          <cell r="R17">
            <v>0</v>
          </cell>
          <cell r="S17">
            <v>0</v>
          </cell>
        </row>
        <row r="18">
          <cell r="P18">
            <v>437.24588084792879</v>
          </cell>
          <cell r="Q18">
            <v>582.99450779723838</v>
          </cell>
          <cell r="R18">
            <v>0.75</v>
          </cell>
          <cell r="S18">
            <v>1</v>
          </cell>
        </row>
        <row r="19">
          <cell r="P19">
            <v>178.82003447363155</v>
          </cell>
          <cell r="Q19">
            <v>357.6400689472631</v>
          </cell>
          <cell r="R19">
            <v>0.5</v>
          </cell>
          <cell r="S19">
            <v>0.75</v>
          </cell>
        </row>
        <row r="20">
          <cell r="P20">
            <v>218.62294042396434</v>
          </cell>
          <cell r="Q20">
            <v>437.24588084792867</v>
          </cell>
          <cell r="R20">
            <v>0.5</v>
          </cell>
          <cell r="S20">
            <v>1</v>
          </cell>
        </row>
        <row r="21">
          <cell r="P21">
            <v>437.2458808479289</v>
          </cell>
          <cell r="Q21">
            <v>437.2458808479289</v>
          </cell>
          <cell r="R21">
            <v>0.75</v>
          </cell>
          <cell r="S21">
            <v>1</v>
          </cell>
        </row>
        <row r="22">
          <cell r="P22">
            <v>71.528013789452615</v>
          </cell>
          <cell r="Q22">
            <v>238.42671263150874</v>
          </cell>
          <cell r="R22">
            <v>0.5</v>
          </cell>
          <cell r="S22">
            <v>1</v>
          </cell>
        </row>
        <row r="23">
          <cell r="P23">
            <v>59.419952148613078</v>
          </cell>
          <cell r="Q23">
            <v>198.06650716204359</v>
          </cell>
          <cell r="R23">
            <v>0.5</v>
          </cell>
          <cell r="S23">
            <v>1</v>
          </cell>
        </row>
        <row r="24">
          <cell r="P24">
            <v>95.370685052603505</v>
          </cell>
          <cell r="Q24">
            <v>190.74137010520701</v>
          </cell>
          <cell r="R24">
            <v>0.5</v>
          </cell>
          <cell r="S24">
            <v>1</v>
          </cell>
        </row>
        <row r="25">
          <cell r="P25">
            <v>55.8</v>
          </cell>
          <cell r="Q25">
            <v>93</v>
          </cell>
          <cell r="R25">
            <v>0</v>
          </cell>
          <cell r="S25">
            <v>0</v>
          </cell>
        </row>
        <row r="26">
          <cell r="P26">
            <v>37.924778624540409</v>
          </cell>
          <cell r="Q26">
            <v>37.924778624540409</v>
          </cell>
          <cell r="R26">
            <v>1</v>
          </cell>
          <cell r="S26">
            <v>1</v>
          </cell>
        </row>
        <row r="27">
          <cell r="P27">
            <v>174.70067999999992</v>
          </cell>
          <cell r="Q27">
            <v>34.940135999999988</v>
          </cell>
          <cell r="R27">
            <v>0.5</v>
          </cell>
          <cell r="S27">
            <v>0.1</v>
          </cell>
        </row>
        <row r="28">
          <cell r="P28">
            <v>11.63174422770213</v>
          </cell>
          <cell r="Q28">
            <v>23.263488455404261</v>
          </cell>
          <cell r="R28">
            <v>0.5</v>
          </cell>
          <cell r="S28">
            <v>1</v>
          </cell>
        </row>
      </sheetData>
      <sheetData sheetId="4"/>
      <sheetData sheetId="5">
        <row r="7">
          <cell r="N7">
            <v>24607.862473805089</v>
          </cell>
        </row>
        <row r="8">
          <cell r="N8">
            <v>25903.222802734013</v>
          </cell>
        </row>
        <row r="9">
          <cell r="N9">
            <v>31743.240609350469</v>
          </cell>
        </row>
        <row r="10">
          <cell r="N10">
            <v>29383.184560541365</v>
          </cell>
        </row>
        <row r="11">
          <cell r="N11">
            <v>34479.010512738474</v>
          </cell>
        </row>
        <row r="12">
          <cell r="N12">
            <v>20651.614947249236</v>
          </cell>
        </row>
        <row r="16">
          <cell r="B16">
            <v>11640.305589407621</v>
          </cell>
        </row>
        <row r="17">
          <cell r="B17">
            <v>10284.974499834872</v>
          </cell>
          <cell r="N17">
            <v>11672</v>
          </cell>
        </row>
        <row r="18">
          <cell r="N18">
            <v>11532</v>
          </cell>
        </row>
        <row r="20">
          <cell r="N20">
            <v>9600</v>
          </cell>
        </row>
        <row r="21">
          <cell r="N21">
            <v>9600</v>
          </cell>
        </row>
        <row r="22">
          <cell r="N22">
            <v>0</v>
          </cell>
        </row>
        <row r="23">
          <cell r="N23">
            <v>10720</v>
          </cell>
        </row>
        <row r="39">
          <cell r="B39">
            <v>38422.507612169553</v>
          </cell>
        </row>
        <row r="47">
          <cell r="B47">
            <v>32011.181274473223</v>
          </cell>
        </row>
      </sheetData>
      <sheetData sheetId="6"/>
      <sheetData sheetId="7"/>
      <sheetData sheetId="8"/>
      <sheetData sheetId="9"/>
      <sheetData sheetId="10"/>
      <sheetData sheetId="11">
        <row r="27">
          <cell r="B27">
            <v>29375</v>
          </cell>
        </row>
        <row r="53">
          <cell r="B53">
            <v>5609.9076923076918</v>
          </cell>
        </row>
      </sheetData>
      <sheetData sheetId="12"/>
      <sheetData sheetId="13"/>
      <sheetData sheetId="14"/>
      <sheetData sheetId="15"/>
      <sheetData sheetId="16"/>
      <sheetData sheetId="17">
        <row r="3">
          <cell r="M3">
            <v>1371.5210927215421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etmed_maksumustegaNOV_2030"/>
      <sheetName val="Maksumus260913"/>
      <sheetName val="Otsekulud_valjundtabel"/>
      <sheetName val="3 Koond_Sorteeritud_STSEN"/>
      <sheetName val="4 Meetmed_arvutused_2030"/>
      <sheetName val="TJ_kytusehinnad"/>
      <sheetName val="Valiskulud"/>
      <sheetName val="Sisukord"/>
      <sheetName val="kirjandusallikad"/>
      <sheetName val="1 Meetmete eeldused"/>
      <sheetName val="2 Stream_stsenaariumid_KM_TJ"/>
      <sheetName val="5 Energiatarve_yhikud_osakaalud"/>
      <sheetName val="3 Meetmed2020Koond"/>
      <sheetName val="Maksumus_Raudtee jt meetmed"/>
      <sheetName val="Mõju energiatarb"/>
      <sheetName val="Pehmed_meetmed"/>
      <sheetName val="Maksumeetmed"/>
      <sheetName val="Tehnoloogilised "/>
      <sheetName val="Infrastruktuur"/>
      <sheetName val="Planeerimine"/>
      <sheetName val="BAU"/>
      <sheetName val="Sekkuv_PP_Linnad"/>
      <sheetName val="TAK_teooria"/>
      <sheetName val="Sekkuv_tehno"/>
      <sheetName val="Konvert"/>
      <sheetName val="3.a Meetmed_maksumus"/>
      <sheetName val="Meetmete_tohusus"/>
      <sheetName val="veokite_TJsuhted"/>
      <sheetName val="Tarbimine2000-2011joonis"/>
      <sheetName val="6 Kokku_TJ"/>
      <sheetName val="6.j Jagunemine_kytus_koht_liik"/>
      <sheetName val="6.j jagunemine vanus"/>
      <sheetName val="6.1 Linna_TJ"/>
      <sheetName val="6.2 Maa_TJ"/>
      <sheetName val="6.3 Kiirtee_TJ"/>
      <sheetName val="8.1 Linna_KM_Osakaal"/>
      <sheetName val="8.2 Maa_KM_osakaal"/>
      <sheetName val="8.3 Kiirtee_KM_osakaal"/>
      <sheetName val="9.1Soidukipark"/>
      <sheetName val="9.2 Läbisõit_koond"/>
      <sheetName val="9.3LäbisõitCopert"/>
      <sheetName val="Tarbimine2000-2011liigiti"/>
      <sheetName val="Läbisõit_maakonniti"/>
    </sheetNames>
    <sheetDataSet>
      <sheetData sheetId="0"/>
      <sheetData sheetId="1">
        <row r="25">
          <cell r="D25">
            <v>120</v>
          </cell>
        </row>
        <row r="34">
          <cell r="D34">
            <v>140000</v>
          </cell>
        </row>
        <row r="42">
          <cell r="D42">
            <v>150000</v>
          </cell>
        </row>
        <row r="50">
          <cell r="D50">
            <v>40</v>
          </cell>
        </row>
        <row r="60">
          <cell r="D60">
            <v>188</v>
          </cell>
        </row>
        <row r="127">
          <cell r="B127">
            <v>3900</v>
          </cell>
        </row>
      </sheetData>
      <sheetData sheetId="2"/>
      <sheetData sheetId="3">
        <row r="4">
          <cell r="P4">
            <v>1530.0840000000001</v>
          </cell>
          <cell r="Q4">
            <v>5100.2800000000007</v>
          </cell>
          <cell r="R4">
            <v>0.3</v>
          </cell>
          <cell r="S4">
            <v>1</v>
          </cell>
        </row>
        <row r="5">
          <cell r="P5">
            <v>889.57020000000011</v>
          </cell>
          <cell r="Q5">
            <v>2965.2340000000004</v>
          </cell>
          <cell r="R5">
            <v>0.3</v>
          </cell>
          <cell r="S5">
            <v>1</v>
          </cell>
        </row>
        <row r="6">
          <cell r="P6">
            <v>417.69000000000005</v>
          </cell>
          <cell r="Q6">
            <v>0</v>
          </cell>
          <cell r="R6">
            <v>0.25</v>
          </cell>
          <cell r="S6">
            <v>0</v>
          </cell>
        </row>
        <row r="7"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P8">
            <v>665.48999999999978</v>
          </cell>
          <cell r="Q8">
            <v>1330.9799999999996</v>
          </cell>
          <cell r="R8">
            <v>0.5</v>
          </cell>
          <cell r="S8">
            <v>1</v>
          </cell>
        </row>
        <row r="9">
          <cell r="P9">
            <v>1029.7575000000002</v>
          </cell>
          <cell r="Q9">
            <v>1373.0100000000002</v>
          </cell>
          <cell r="R9">
            <v>0.75</v>
          </cell>
          <cell r="S9">
            <v>1</v>
          </cell>
        </row>
        <row r="10">
          <cell r="P10">
            <v>111.70224000000017</v>
          </cell>
          <cell r="Q10">
            <v>1117.0224000000017</v>
          </cell>
          <cell r="R10">
            <v>0.1</v>
          </cell>
          <cell r="S10">
            <v>1</v>
          </cell>
        </row>
        <row r="11">
          <cell r="P11">
            <v>0</v>
          </cell>
          <cell r="Q11">
            <v>1329.3134505177586</v>
          </cell>
          <cell r="R11">
            <v>0</v>
          </cell>
          <cell r="S11">
            <v>1</v>
          </cell>
        </row>
        <row r="12">
          <cell r="P12">
            <v>343.25250000000005</v>
          </cell>
          <cell r="Q12">
            <v>0</v>
          </cell>
          <cell r="R12">
            <v>0.3</v>
          </cell>
          <cell r="S12">
            <v>0</v>
          </cell>
        </row>
        <row r="13">
          <cell r="P13">
            <v>279.25560000000002</v>
          </cell>
          <cell r="Q13">
            <v>930.85200000000009</v>
          </cell>
          <cell r="R13">
            <v>0.3</v>
          </cell>
          <cell r="S13">
            <v>1</v>
          </cell>
        </row>
        <row r="14">
          <cell r="P14">
            <v>417.69000000000005</v>
          </cell>
          <cell r="Q14">
            <v>835.38000000000011</v>
          </cell>
          <cell r="R14">
            <v>0.5</v>
          </cell>
          <cell r="S14">
            <v>1</v>
          </cell>
        </row>
        <row r="15">
          <cell r="P15">
            <v>1221.0707430090461</v>
          </cell>
          <cell r="Q15">
            <v>610.53537150452303</v>
          </cell>
          <cell r="R15">
            <v>1</v>
          </cell>
          <cell r="S15">
            <v>0.5</v>
          </cell>
        </row>
        <row r="16">
          <cell r="P16">
            <v>0</v>
          </cell>
          <cell r="Q16">
            <v>459.10898662120456</v>
          </cell>
          <cell r="R16">
            <v>0</v>
          </cell>
          <cell r="S16">
            <v>1</v>
          </cell>
        </row>
        <row r="17">
          <cell r="P17">
            <v>313.32</v>
          </cell>
          <cell r="Q17">
            <v>417.76</v>
          </cell>
          <cell r="R17">
            <v>0.75</v>
          </cell>
          <cell r="S17">
            <v>1</v>
          </cell>
        </row>
        <row r="18">
          <cell r="P18">
            <v>179.01</v>
          </cell>
          <cell r="Q18">
            <v>358.02</v>
          </cell>
          <cell r="R18">
            <v>0.5</v>
          </cell>
          <cell r="S18">
            <v>1</v>
          </cell>
        </row>
        <row r="19">
          <cell r="P19">
            <v>156.65999999999997</v>
          </cell>
          <cell r="Q19">
            <v>313.31999999999994</v>
          </cell>
          <cell r="R19">
            <v>0.5</v>
          </cell>
          <cell r="S19">
            <v>1</v>
          </cell>
        </row>
        <row r="20">
          <cell r="P20">
            <v>313.32</v>
          </cell>
          <cell r="Q20">
            <v>313.32</v>
          </cell>
          <cell r="R20">
            <v>1</v>
          </cell>
          <cell r="S20">
            <v>1</v>
          </cell>
        </row>
        <row r="21">
          <cell r="P21">
            <v>71.603999999999999</v>
          </cell>
          <cell r="Q21">
            <v>238.68</v>
          </cell>
        </row>
        <row r="22">
          <cell r="P22">
            <v>59.483075626471269</v>
          </cell>
          <cell r="Q22">
            <v>198.27691875490424</v>
          </cell>
          <cell r="R22">
            <v>0.5</v>
          </cell>
          <cell r="S22">
            <v>1</v>
          </cell>
        </row>
        <row r="23">
          <cell r="P23">
            <v>95.472000000000008</v>
          </cell>
          <cell r="Q23">
            <v>190.94400000000002</v>
          </cell>
          <cell r="R23">
            <v>0.5</v>
          </cell>
          <cell r="S23">
            <v>1</v>
          </cell>
        </row>
        <row r="24">
          <cell r="P24">
            <v>55.8</v>
          </cell>
          <cell r="Q24">
            <v>93</v>
          </cell>
          <cell r="R24">
            <v>0.3</v>
          </cell>
          <cell r="S24">
            <v>0.5</v>
          </cell>
        </row>
        <row r="25">
          <cell r="P25">
            <v>18.197999999999979</v>
          </cell>
          <cell r="Q25">
            <v>18.197999999999979</v>
          </cell>
          <cell r="R25">
            <v>1</v>
          </cell>
          <cell r="S25">
            <v>1</v>
          </cell>
        </row>
        <row r="26">
          <cell r="P26">
            <v>32.093375992151778</v>
          </cell>
          <cell r="Q26">
            <v>6.4186751984303561</v>
          </cell>
          <cell r="R26">
            <v>0.5</v>
          </cell>
          <cell r="S26">
            <v>0.1</v>
          </cell>
        </row>
        <row r="27">
          <cell r="P27">
            <v>8.3083887340729508</v>
          </cell>
          <cell r="Q27">
            <v>16.616777468145902</v>
          </cell>
          <cell r="R27">
            <v>0.5</v>
          </cell>
          <cell r="S27">
            <v>1</v>
          </cell>
        </row>
      </sheetData>
      <sheetData sheetId="4"/>
      <sheetData sheetId="5">
        <row r="7">
          <cell r="H7">
            <v>18343.633372374359</v>
          </cell>
          <cell r="J7">
            <v>19642.297681922984</v>
          </cell>
        </row>
        <row r="8">
          <cell r="H8">
            <v>19309.244058157597</v>
          </cell>
          <cell r="J8">
            <v>20676.270186168753</v>
          </cell>
        </row>
        <row r="9">
          <cell r="H9">
            <v>22537.614678899081</v>
          </cell>
          <cell r="J9">
            <v>24812.84403669725</v>
          </cell>
        </row>
        <row r="10">
          <cell r="H10">
            <v>21903.339449541283</v>
          </cell>
          <cell r="J10">
            <v>23454.018348623853</v>
          </cell>
        </row>
        <row r="11">
          <cell r="H11">
            <v>29394.017094017094</v>
          </cell>
          <cell r="J11">
            <v>30382.051282051285</v>
          </cell>
        </row>
        <row r="12">
          <cell r="H12">
            <v>17605.897435897437</v>
          </cell>
          <cell r="J12">
            <v>18197.692307692309</v>
          </cell>
        </row>
        <row r="13">
          <cell r="H13">
            <v>20267.470698023015</v>
          </cell>
        </row>
        <row r="16">
          <cell r="B16">
            <v>11640.305589407621</v>
          </cell>
        </row>
        <row r="17">
          <cell r="B17">
            <v>10284.974499834872</v>
          </cell>
          <cell r="H17">
            <v>11672</v>
          </cell>
          <cell r="J17">
            <v>11672</v>
          </cell>
        </row>
        <row r="18">
          <cell r="H18">
            <v>11532</v>
          </cell>
          <cell r="J18">
            <v>11532</v>
          </cell>
        </row>
        <row r="20">
          <cell r="H20">
            <v>9600</v>
          </cell>
          <cell r="J20">
            <v>9600</v>
          </cell>
        </row>
        <row r="21">
          <cell r="H21">
            <v>9600</v>
          </cell>
          <cell r="J21">
            <v>9600</v>
          </cell>
        </row>
        <row r="22">
          <cell r="H22">
            <v>0</v>
          </cell>
          <cell r="J22">
            <v>0</v>
          </cell>
        </row>
        <row r="23">
          <cell r="H23">
            <v>5000</v>
          </cell>
          <cell r="J23">
            <v>10720</v>
          </cell>
        </row>
        <row r="39">
          <cell r="B39">
            <v>38422.507612169553</v>
          </cell>
        </row>
        <row r="47">
          <cell r="B47">
            <v>32011.181274473223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27">
            <v>29375</v>
          </cell>
        </row>
        <row r="53">
          <cell r="B53">
            <v>5609.9076923076918</v>
          </cell>
        </row>
      </sheetData>
      <sheetData sheetId="14"/>
      <sheetData sheetId="15">
        <row r="3">
          <cell r="M3">
            <v>4772.6398354747989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i.SEIT/Desktop/autorecovery/ENMAK_arvutused100214_2030_kulu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i.SEIT/Desktop/autorecovery/ENMAK_arvutused10021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 Jüssi" refreshedDate="41619.826911111108" createdVersion="3" refreshedVersion="3" minRefreshableVersion="3" recordCount="13">
  <cacheSource type="worksheet">
    <worksheetSource ref="A3:AK16" sheet="4 Meetmed_arvutused_2030" r:id="rId2"/>
  </cacheSource>
  <cacheFields count="37">
    <cacheField name="Sector" numFmtId="0">
      <sharedItems containsBlank="1" count="13">
        <m/>
        <s v="Sõiduauto kokku"/>
        <s v="Kaubik kokku"/>
        <s v="Veoauto kokku"/>
        <s v="Buss kokku"/>
        <s v="Reisirong"/>
        <s v="Kaubarong"/>
        <s v="Lennuk"/>
        <s v="Laev"/>
        <s v="Kokku"/>
        <s v="EUR/TJ"/>
        <s v="Maksumus (1000 EUR)"/>
        <s v="Korrigeerimine"/>
      </sharedItems>
    </cacheField>
    <cacheField name="COPERT TJ 2010" numFmtId="0">
      <sharedItems containsString="0" containsBlank="1" containsNumber="1" containsInteger="1" minValue="175" maxValue="47899"/>
    </cacheField>
    <cacheField name="BAU TJ 2030" numFmtId="0">
      <sharedItems containsString="0" containsBlank="1" containsNumber="1" containsInteger="1" minValue="175" maxValue="47899" count="8">
        <m/>
        <n v="23868"/>
        <n v="10444"/>
        <n v="1011"/>
        <n v="438"/>
        <n v="1344"/>
        <n v="175"/>
        <n v="47899"/>
      </sharedItems>
    </cacheField>
    <cacheField name="EE TJ 2020 kokkuhoid" numFmtId="0">
      <sharedItems containsString="0" containsBlank="1" containsNumber="1" minValue="-234.17147415281158" maxValue="4772.6398354747989" count="8">
        <m/>
        <n v="3419.6182402275263"/>
        <n v="1382.7195239585544"/>
        <n v="135.49666363795859"/>
        <n v="-234.17147415281158"/>
        <n v="68.976881803571132"/>
        <n v="0"/>
        <n v="4772.6398354747989"/>
      </sharedItems>
    </cacheField>
    <cacheField name="EcoDrive" numFmtId="0">
      <sharedItems containsString="0" containsBlank="1" containsNumber="1" minValue="0.03" maxValue="0.12"/>
    </cacheField>
    <cacheField name="EcoDriveKokkuhoid" numFmtId="0">
      <sharedItems containsString="0" containsBlank="1" containsNumber="1" minValue="-5679.5245154999975" maxValue="5679.5245154999975"/>
    </cacheField>
    <cacheField name="Autode kooskasutus " numFmtId="0">
      <sharedItems containsString="0" containsBlank="1" containsNumber="1" minValue="0" maxValue="8.0000000000000002E-3"/>
    </cacheField>
    <cacheField name="Autode kooskasutus, kokkuhoid" numFmtId="0">
      <sharedItems containsString="0" containsBlank="1" containsNumber="1" minValue="0" maxValue="190.94400000000002"/>
    </cacheField>
    <cacheField name="ÜT kampaaniad ja otseturundus" numFmtId="0">
      <sharedItems containsString="0" containsBlank="1" containsNumber="1" minValue="0" maxValue="0.01"/>
    </cacheField>
    <cacheField name="ÜT kampaaniad ja otseturundus, kokkuhoid" numFmtId="0">
      <sharedItems containsString="0" containsBlank="1" containsNumber="1" minValue="0" maxValue="238.68"/>
    </cacheField>
    <cacheField name="20% ÜT teenuse lisamine" numFmtId="0">
      <sharedItems containsString="0" containsBlank="1" containsNumber="1" minValue="0" maxValue="0.06"/>
    </cacheField>
    <cacheField name="20% ÜT teenuse lisamine, kokkuhoid" numFmtId="0">
      <sharedItems containsString="0" containsBlank="1" containsNumber="1" minValue="-15980" maxValue="15980"/>
    </cacheField>
    <cacheField name="Sõiduauto reg maks" numFmtId="0">
      <sharedItems containsString="0" containsBlank="1" containsNumber="1" minValue="0" maxValue="7.0000000000000007E-2"/>
    </cacheField>
    <cacheField name="Sõiduauto reg maks- kokkuhoid" numFmtId="0">
      <sharedItems containsString="0" containsBlank="1" containsNumber="1" minValue="0" maxValue="1670.7600000000002"/>
    </cacheField>
    <cacheField name="Autode aastamaks" numFmtId="0">
      <sharedItems containsString="0" containsBlank="1" containsNumber="1" minValue="0" maxValue="1670.7600000000002"/>
    </cacheField>
    <cacheField name="Sõiduautode teekasutustasud" numFmtId="0">
      <sharedItems containsString="0" containsBlank="1" containsNumber="1" minValue="-404.40000000000003" maxValue="5100.2800000000007"/>
    </cacheField>
    <cacheField name="Elektriautod (0,5% läbisõit)" numFmtId="0">
      <sharedItems containsString="0" containsBlank="1" containsNumber="1" minValue="-4793.6932174222811" maxValue="4793.6932174222811"/>
    </cacheField>
    <cacheField name="Ummikumaks Tallinnas" numFmtId="0">
      <sharedItems containsString="0" containsBlank="1" containsNumber="1" minValue="-6848.470026020681" maxValue="6848.470026020681"/>
    </cacheField>
    <cacheField name="Kaugtöö, e-pood, telekonv" numFmtId="0">
      <sharedItems containsString="0" containsBlank="1" containsNumber="1" minValue="0" maxValue="3.5000000000000003E-2"/>
    </cacheField>
    <cacheField name="Kaugtöö, e-pood, telekonv, kokkuhoid" numFmtId="0">
      <sharedItems containsString="0" containsBlank="1" containsNumber="1" minValue="0" maxValue="835.38000000000011"/>
    </cacheField>
    <cacheField name="Kütuse hinnatõus 5%" numFmtId="0">
      <sharedItems containsString="0" containsBlank="1" containsNumber="1" minValue="0" maxValue="0.1"/>
    </cacheField>
    <cacheField name="Kütuseaktsiisi tõstmine" numFmtId="0">
      <sharedItems containsString="0" containsBlank="1" containsNumber="1" minValue="-4732.9370962499997" maxValue="4732.9370962499997"/>
    </cacheField>
    <cacheField name="Kergliikluse arendamine" numFmtId="0">
      <sharedItems containsString="0" containsBlank="1" containsNumber="1" minValue="0" maxValue="358.02"/>
    </cacheField>
    <cacheField name="Kergliikluse kampaaniad" numFmtId="0">
      <sharedItems containsString="0" containsBlank="1" containsNumber="1" minValue="0" maxValue="358.02"/>
    </cacheField>
    <cacheField name="Jalgsi ja rattaga asendamine, stream" numFmtId="0">
      <sharedItems containsString="0" containsBlank="1" containsNumber="1" minValue="0" maxValue="2.7843826827454103"/>
    </cacheField>
    <cacheField name="Linnade liikuvuskorraldus" numFmtId="0">
      <sharedItems containsString="0" containsBlank="1" containsNumber="1" minValue="0" maxValue="198.27691875490424"/>
    </cacheField>
    <cacheField name="Linnade parkimispoliitika" numFmtId="0">
      <sharedItems containsString="0" containsBlank="1" containsNumber="1" minValue="-17726.374742543998" maxValue="17726.374742543998"/>
    </cacheField>
    <cacheField name="Linnatänavate ümberkorraldamine" numFmtId="0">
      <sharedItems containsString="0" containsBlank="1" containsNumber="1" minValue="0" maxValue="930.85200000000009"/>
    </cacheField>
    <cacheField name="Maakasutuse suunamine" numFmtId="0">
      <sharedItems containsString="0" containsBlank="1" containsNumber="1" minValue="0" maxValue="2965.2340000000004"/>
    </cacheField>
    <cacheField name="Raskeveokite teekasutustasud" numFmtId="0">
      <sharedItems containsString="0" containsBlank="1" containsNumber="1" minValue="0" maxValue="313.32"/>
    </cacheField>
    <cacheField name="Raskeveokite rehvid" numFmtId="0">
      <sharedItems containsString="0" containsBlank="1" containsNumber="1" minValue="-2435.0290439999994" maxValue="2435.0290439999994"/>
    </cacheField>
    <cacheField name="Raskeveokite aerodünaamika" numFmtId="0">
      <sharedItems containsString="0" containsBlank="1" containsNumber="1" minValue="-1826.2717829999997" maxValue="1826.2717829999997"/>
    </cacheField>
    <cacheField name="Kuni 12t veokite start-stop süsteem" numFmtId="0">
      <sharedItems containsString="0" containsBlank="1" containsNumber="1" minValue="16.616777468145902" maxValue="16.616777468145902"/>
    </cacheField>
    <cacheField name="Kütusesäästlikud bussid linnades" numFmtId="0">
      <sharedItems containsString="0" containsBlank="1" containsNumber="1" minValue="-383.22804239999999" maxValue="383.22804239999999"/>
    </cacheField>
    <cacheField name="Rail Baltic" numFmtId="0">
      <sharedItems containsString="0" containsBlank="1" containsNumber="1" minValue="-12.160691326899084" maxValue="1221.0707430090461"/>
    </cacheField>
    <cacheField name="Raudtee elektrifits" numFmtId="0">
      <sharedItems containsString="0" containsBlank="1" containsNumber="1" minValue="0" maxValue="459.10898662120456"/>
    </cacheField>
    <cacheField name="Mitme-mootoriliste vedurite kasutamine " numFmtId="0">
      <sharedItems containsString="0" containsBlank="1" containsNumber="1" containsInteger="1" minValue="186" maxValue="186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 Jüssi" refreshedDate="41680.73281666667" createdVersion="3" refreshedVersion="3" minRefreshableVersion="3" recordCount="13">
  <cacheSource type="worksheet">
    <worksheetSource ref="A3:AK16" sheet="4 Meetmed_arvutused" r:id="rId2"/>
  </cacheSource>
  <cacheFields count="37">
    <cacheField name="Sector" numFmtId="0">
      <sharedItems containsBlank="1" count="13">
        <m/>
        <s v="Sõiduauto kokku"/>
        <s v="Kaubik kokku"/>
        <s v="Veoauto kokku"/>
        <s v="Buss kokku"/>
        <s v="Reisirong"/>
        <s v="Kaubarong"/>
        <s v="Lennuk"/>
        <s v="Laev"/>
        <s v="Kokku"/>
        <s v="EUR/TJ"/>
        <s v="Maksumus (1000 EUR)"/>
        <s v="Korrigeerimine"/>
      </sharedItems>
    </cacheField>
    <cacheField name="COPERT TJ 2010" numFmtId="0">
      <sharedItems containsString="0" containsBlank="1" containsNumber="1" minValue="1796.0851417595477" maxValue="28427.126005207483" count="6">
        <m/>
        <n v="17238.267251150133"/>
        <n v="2503.6139093376278"/>
        <n v="6889.1597029601717"/>
        <n v="1796.0851417595477"/>
        <n v="28427.126005207483"/>
      </sharedItems>
    </cacheField>
    <cacheField name="BAU TJ 2020" numFmtId="0">
      <sharedItems containsString="0" containsBlank="1" containsNumber="1" minValue="269.72543245392637" maxValue="40982.994947593361" count="10">
        <m/>
        <n v="23643.38565682865"/>
        <n v="3537.5846256478039"/>
        <n v="9734.3225957999402"/>
        <n v="1796.0851417595477"/>
        <n v="269.72543245392637"/>
        <n v="1324.4521055021412"/>
        <n v="326.68338960135617"/>
        <n v="350.75599999999997"/>
        <n v="40982.994947593361"/>
      </sharedItems>
    </cacheField>
    <cacheField name="EE TJ 2020 kokkuhoid" numFmtId="0">
      <sharedItems containsString="0" containsBlank="1" containsNumber="1" minValue="-234.17147415281158" maxValue="4772.6398354747989" count="8">
        <m/>
        <n v="3419.6182402275263"/>
        <n v="1382.7195239585544"/>
        <n v="135.49666363795859"/>
        <n v="-234.17147415281158"/>
        <n v="68.976881803571132"/>
        <n v="0"/>
        <n v="4772.6398354747989"/>
      </sharedItems>
    </cacheField>
    <cacheField name="EcoDrive" numFmtId="0">
      <sharedItems containsString="0" containsBlank="1" containsNumber="1" minValue="0.03" maxValue="0.12" count="3">
        <m/>
        <n v="0.03"/>
        <n v="0.12"/>
      </sharedItems>
    </cacheField>
    <cacheField name="EcoDriveKokkuhoid" numFmtId="0">
      <sharedItems containsString="0" containsBlank="1" containsNumber="1" minValue="-4803.9465224633886" maxValue="4803.9465224633886" count="8">
        <m/>
        <n v="709.3015697048595"/>
        <n v="106.12753876943411"/>
        <n v="292.0296778739982"/>
        <n v="53.882554252786427"/>
        <n v="1161.3413406010782"/>
        <n v="-4803.9465224633886"/>
        <n v="4803.9465224633886"/>
      </sharedItems>
    </cacheField>
    <cacheField name="Autode kooskasutus " numFmtId="0">
      <sharedItems containsString="0" containsBlank="1" containsNumber="1" minValue="0" maxValue="8.0000000000000002E-3" count="3">
        <m/>
        <n v="8.0000000000000002E-3"/>
        <n v="0"/>
      </sharedItems>
    </cacheField>
    <cacheField name="Autode kooskasutus, kokkuhoid" numFmtId="0">
      <sharedItems containsString="0" containsBlank="1" containsNumber="1" minValue="0" maxValue="189.14708525462922" count="3">
        <m/>
        <n v="189.14708525462922"/>
        <n v="0"/>
      </sharedItems>
    </cacheField>
    <cacheField name="ÜT kampaaniad ja otseturundus" numFmtId="0">
      <sharedItems containsString="0" containsBlank="1" containsNumber="1" minValue="0" maxValue="0.01" count="3">
        <m/>
        <n v="0.01"/>
        <n v="0"/>
      </sharedItems>
    </cacheField>
    <cacheField name="ÜT kampaaniad ja otseturundus, kokkuhoid" numFmtId="0">
      <sharedItems containsString="0" containsBlank="1" containsNumber="1" minValue="0" maxValue="236.4338565682865" count="3">
        <m/>
        <n v="236.4338565682865"/>
        <n v="0"/>
      </sharedItems>
    </cacheField>
    <cacheField name="20% ÜT teenuse lisamine" numFmtId="0">
      <sharedItems containsString="0" containsBlank="1" containsNumber="1" minValue="0" maxValue="0.06" count="3">
        <m/>
        <n v="0.06"/>
        <n v="0"/>
      </sharedItems>
    </cacheField>
    <cacheField name="20% ÜT teenuse lisamine, kokkuhoid" numFmtId="0">
      <sharedItems containsString="0" containsBlank="1" containsNumber="1" minValue="-16280" maxValue="16280" count="7">
        <m/>
        <n v="1418.603139409719"/>
        <n v="0"/>
        <n v="-179.60851417595478"/>
        <n v="1238.9946252337643"/>
        <n v="16280"/>
        <n v="-16280"/>
      </sharedItems>
    </cacheField>
    <cacheField name="Sõiduauto reg maks" numFmtId="0">
      <sharedItems containsString="0" containsBlank="1" containsNumber="1" minValue="0" maxValue="7.0000000000000007E-2" count="3">
        <m/>
        <n v="7.0000000000000007E-2"/>
        <n v="0"/>
      </sharedItems>
    </cacheField>
    <cacheField name="Sõiduauto reg maks- kokkuhoid" numFmtId="0">
      <sharedItems containsString="0" containsBlank="1" containsNumber="1" minValue="0" maxValue="1655.0369959780057" count="3">
        <m/>
        <n v="1655.0369959780057"/>
        <n v="0"/>
      </sharedItems>
    </cacheField>
    <cacheField name="Autode aastamaks" numFmtId="0">
      <sharedItems containsString="0" containsBlank="1" containsNumber="1" minValue="0" maxValue="1655.0369959780057" count="3">
        <m/>
        <n v="1655.0369959780057"/>
        <n v="0"/>
      </sharedItems>
    </cacheField>
    <cacheField name="Sõiduautode teekasutustasud" numFmtId="0">
      <sharedItems containsString="0" containsBlank="1" containsNumber="1" minValue="-718.43405670381912" maxValue="4728.67713136573" count="5">
        <m/>
        <n v="4728.67713136573"/>
        <n v="247.63092379534629"/>
        <n v="-718.43405670381912"/>
        <n v="4257.8739984572576"/>
      </sharedItems>
    </cacheField>
    <cacheField name="Elektriautod (0,5% läbisõit)" numFmtId="0">
      <sharedItems containsString="0" containsBlank="1" containsNumber="1" minValue="-4793.6932174222811" maxValue="4793.6932174222811" count="4">
        <m/>
        <n v="64.186751984303385"/>
        <n v="4793.6932174222811"/>
        <n v="-4793.6932174222811"/>
      </sharedItems>
    </cacheField>
    <cacheField name="Ummikumaks Tallinnas" numFmtId="0">
      <sharedItems containsString="0" containsBlank="1" containsNumber="1" minValue="-5568.124187758327" maxValue="5568.124187758327" count="7">
        <m/>
        <n v="754.31584230751287"/>
        <n v="115.75660602583929"/>
        <n v="210.72112290481161"/>
        <n v="1080.7935712381638"/>
        <n v="-5568.124187758327"/>
        <n v="5568.124187758327"/>
      </sharedItems>
    </cacheField>
    <cacheField name="Kaugtöö, e-pood, telekonv" numFmtId="0">
      <sharedItems containsString="0" containsBlank="1" containsNumber="1" minValue="0" maxValue="3.5000000000000003E-2" count="3">
        <m/>
        <n v="3.5000000000000003E-2"/>
        <n v="0"/>
      </sharedItems>
    </cacheField>
    <cacheField name="Kaugtöö, e-pood, telekonv, kokkuhoid" numFmtId="0">
      <sharedItems containsString="0" containsBlank="1" containsNumber="1" minValue="0" maxValue="827.51849798900287" count="3">
        <m/>
        <n v="827.51849798900287"/>
        <n v="0"/>
      </sharedItems>
    </cacheField>
    <cacheField name="Kütuse hinnatõus 5%" numFmtId="0">
      <sharedItems containsString="0" containsBlank="1" containsNumber="1" minValue="0" maxValue="0.1" count="4">
        <m/>
        <n v="2.5000000000000001E-2"/>
        <n v="0.1"/>
        <n v="0"/>
      </sharedItems>
    </cacheField>
    <cacheField name="Kütuseaktsiisi tõstmine" numFmtId="0">
      <sharedItems containsString="0" containsBlank="1" containsNumber="1" minValue="-4003.2887687194916" maxValue="4003.2887687194916" count="8">
        <m/>
        <n v="591.08464142071625"/>
        <n v="88.439615641195104"/>
        <n v="243.35806489499851"/>
        <n v="44.902128543988695"/>
        <n v="967.78445050089863"/>
        <n v="-4003.2887687194916"/>
        <n v="4003.2887687194916"/>
      </sharedItems>
    </cacheField>
    <cacheField name="Kergliikluse arendamine" numFmtId="0">
      <sharedItems containsString="0" containsBlank="1" containsNumber="1" minValue="0" maxValue="354.65078485242975" count="3">
        <m/>
        <n v="354.65078485242975"/>
        <n v="0"/>
      </sharedItems>
    </cacheField>
    <cacheField name="Kergliikluse kampaaniad" numFmtId="0">
      <sharedItems containsString="0" containsBlank="1" containsNumber="1" minValue="0" maxValue="354.65078485242975" count="3">
        <m/>
        <n v="354.65078485242975"/>
        <n v="0"/>
      </sharedItems>
    </cacheField>
    <cacheField name="Jalgsi ja rattaga asendamine, stream" numFmtId="0">
      <sharedItems containsString="0" containsBlank="1" containsNumber="1" minValue="0" maxValue="2.7843826827454103" count="3">
        <m/>
        <n v="2.7843826827454103"/>
        <n v="0"/>
      </sharedItems>
    </cacheField>
    <cacheField name="Linnade liikuvuskorraldus" numFmtId="0">
      <sharedItems containsString="0" containsBlank="1" containsNumber="1" minValue="0" maxValue="196.41099618610201" count="3">
        <m/>
        <n v="196.41099618610201"/>
        <n v="0"/>
      </sharedItems>
    </cacheField>
    <cacheField name="Linnade parkimispoliitika" numFmtId="0">
      <sharedItems containsString="0" containsBlank="1" containsNumber="1" minValue="-17559.557329287516" maxValue="17559.557329287516" count="4">
        <m/>
        <n v="1106.5104487395809"/>
        <n v="-17559.557329287516"/>
        <n v="17559.557329287516"/>
      </sharedItems>
    </cacheField>
    <cacheField name="Linnatänavate ümberkorraldamine" numFmtId="0">
      <sharedItems containsString="0" containsBlank="1" containsNumber="1" minValue="0" maxValue="922.09204061631738" count="3">
        <m/>
        <n v="922.09204061631738"/>
        <n v="0"/>
      </sharedItems>
    </cacheField>
    <cacheField name="Maakasutuse suunamine" numFmtId="0">
      <sharedItems containsString="0" containsBlank="1" containsNumber="1" minValue="0" maxValue="2679.4260178274099" count="7">
        <m/>
        <n v="2305.2301015407934"/>
        <n v="141.50338502591217"/>
        <n v="175.21780672439891"/>
        <n v="57.47472453630553"/>
        <n v="2679.4260178274099"/>
        <n v="0"/>
      </sharedItems>
    </cacheField>
    <cacheField name="Raskeveokite teekasutustasud" numFmtId="0">
      <sharedItems containsString="0" containsBlank="1" containsNumber="1" minValue="0" maxValue="292.0296778739982" count="3">
        <m/>
        <n v="292.0296778739982"/>
        <n v="0"/>
      </sharedItems>
    </cacheField>
    <cacheField name="Raskeveokite rehvid" numFmtId="0">
      <sharedItems containsString="0" containsBlank="1" containsNumber="1" minValue="-2269.5670475333513" maxValue="2269.5670475333513" count="4">
        <m/>
        <n v="389.37290383199763"/>
        <n v="-2269.5670475333513"/>
        <n v="2269.5670475333513"/>
      </sharedItems>
    </cacheField>
    <cacheField name="Raskeveokite aerodünaamika" numFmtId="0">
      <sharedItems containsString="0" containsBlank="1" containsNumber="1" minValue="-1702.1752856500134" maxValue="1702.1752856500134" count="4">
        <m/>
        <n v="292.0296778739982"/>
        <n v="-1702.1752856500134"/>
        <n v="1702.1752856500134"/>
      </sharedItems>
    </cacheField>
    <cacheField name="Kuni 12t veokite start-stop süsteem" numFmtId="0">
      <sharedItems containsString="0" containsBlank="1" containsNumber="1" minValue="16.616777468145902" maxValue="16.616777468145902" count="2">
        <m/>
        <n v="16.616777468145902"/>
      </sharedItems>
    </cacheField>
    <cacheField name="Kütusesäästlikud bussid linnades" numFmtId="0">
      <sharedItems containsString="0" containsBlank="1" containsNumber="1" minValue="-680.82116009914728" maxValue="680.82116009914728" count="4">
        <m/>
        <n v="32.329532551671853"/>
        <n v="680.82116009914728"/>
        <n v="-680.82116009914728"/>
      </sharedItems>
    </cacheField>
    <cacheField name="Rail Baltic" numFmtId="0">
      <sharedItems containsString="0" containsBlank="1" containsNumber="1" minValue="-12.160691326899084" maxValue="1221.0707430090461" count="10">
        <m/>
        <n v="54.051698485058857"/>
        <n v="745.76441408000005"/>
        <n v="0.69573739026228765"/>
        <n v="-12.160691326899084"/>
        <n v="56.183310460623851"/>
        <n v="376.53627391999999"/>
        <n v="1221.0707430090461"/>
        <n v="-10.978948098157598"/>
        <n v="10.978948098157598"/>
      </sharedItems>
    </cacheField>
    <cacheField name="Raudtee elektrifits" numFmtId="0">
      <sharedItems containsString="0" containsBlank="1" containsNumber="1" minValue="0" maxValue="459.10898662120456" count="5">
        <m/>
        <n v="71.559633027522921"/>
        <n v="387.54935359368164"/>
        <n v="459.10898662120456"/>
        <n v="0"/>
      </sharedItems>
    </cacheField>
    <cacheField name="Mitme-mootoriliste vedurite kasutamine " numFmtId="0">
      <sharedItems containsString="0" containsBlank="1" containsNumber="1" containsInteger="1" minValue="186" maxValue="186" count="2">
        <m/>
        <n v="18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23868"/>
    <x v="1"/>
    <x v="1"/>
    <n v="0.03"/>
    <n v="716.04"/>
    <n v="8.0000000000000002E-3"/>
    <n v="190.94400000000002"/>
    <n v="0.01"/>
    <n v="238.68"/>
    <n v="0.06"/>
    <n v="1432.08"/>
    <n v="7.0000000000000007E-2"/>
    <n v="1670.7600000000002"/>
    <n v="1670.7600000000002"/>
    <n v="4773.6000000000004"/>
    <n v="64.186751984303385"/>
    <n v="761.4819123417642"/>
    <n v="3.5000000000000003E-2"/>
    <n v="835.38000000000011"/>
    <n v="2.5000000000000001E-2"/>
    <n v="596.70000000000005"/>
    <n v="358.02"/>
    <n v="358.02"/>
    <n v="2.7843826827454103"/>
    <n v="198.27691875490424"/>
    <n v="1117.0224000000001"/>
    <n v="930.85200000000009"/>
    <n v="2327.13"/>
    <m/>
    <m/>
    <m/>
    <m/>
    <m/>
    <n v="54.051698485058857"/>
    <m/>
    <m/>
  </r>
  <r>
    <x v="2"/>
    <n v="10444"/>
    <x v="2"/>
    <x v="0"/>
    <n v="0.03"/>
    <n v="313.32"/>
    <n v="0"/>
    <n v="0"/>
    <n v="0"/>
    <n v="0"/>
    <n v="0"/>
    <n v="0"/>
    <n v="0"/>
    <n v="0"/>
    <m/>
    <n v="731.08"/>
    <m/>
    <n v="341.74786507403473"/>
    <n v="0"/>
    <n v="0"/>
    <n v="2.5000000000000001E-2"/>
    <n v="261.10000000000002"/>
    <m/>
    <m/>
    <n v="0"/>
    <n v="0"/>
    <m/>
    <m/>
    <n v="417.76000000000005"/>
    <m/>
    <m/>
    <m/>
    <m/>
    <m/>
    <m/>
    <m/>
    <m/>
  </r>
  <r>
    <x v="3"/>
    <n v="10444"/>
    <x v="2"/>
    <x v="2"/>
    <n v="0.03"/>
    <n v="313.32"/>
    <n v="0"/>
    <n v="0"/>
    <n v="0"/>
    <n v="0"/>
    <n v="0"/>
    <n v="0"/>
    <n v="0"/>
    <n v="0"/>
    <m/>
    <m/>
    <m/>
    <n v="226.08367310195953"/>
    <n v="0"/>
    <n v="0"/>
    <n v="2.5000000000000001E-2"/>
    <n v="261.10000000000002"/>
    <m/>
    <m/>
    <n v="0"/>
    <n v="0"/>
    <m/>
    <m/>
    <n v="187.99200000000002"/>
    <n v="313.32"/>
    <n v="417.76"/>
    <n v="313.32"/>
    <n v="16.616777468145902"/>
    <m/>
    <n v="745.76441408000005"/>
    <m/>
    <m/>
  </r>
  <r>
    <x v="4"/>
    <n v="1011"/>
    <x v="3"/>
    <x v="3"/>
    <n v="0.03"/>
    <n v="30.33"/>
    <n v="0"/>
    <n v="0"/>
    <n v="0"/>
    <n v="0"/>
    <n v="0"/>
    <n v="-101.10000000000001"/>
    <n v="0"/>
    <n v="0"/>
    <m/>
    <n v="-404.40000000000003"/>
    <m/>
    <m/>
    <n v="0"/>
    <n v="0"/>
    <n v="2.5000000000000001E-2"/>
    <n v="25.275000000000002"/>
    <m/>
    <m/>
    <n v="0"/>
    <n v="0"/>
    <m/>
    <m/>
    <n v="32.352000000000004"/>
    <m/>
    <m/>
    <m/>
    <m/>
    <n v="18.198"/>
    <n v="0.69573739026228765"/>
    <m/>
    <m/>
  </r>
  <r>
    <x v="5"/>
    <n v="438"/>
    <x v="4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-12.160691326899084"/>
    <n v="71.559633027522921"/>
    <m/>
  </r>
  <r>
    <x v="6"/>
    <n v="1344"/>
    <x v="5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87.54935359368164"/>
    <n v="186"/>
  </r>
  <r>
    <x v="7"/>
    <n v="175"/>
    <x v="6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6.183310460623851"/>
    <m/>
    <m/>
  </r>
  <r>
    <x v="8"/>
    <n v="175"/>
    <x v="6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76.53627391999999"/>
    <m/>
    <m/>
  </r>
  <r>
    <x v="9"/>
    <n v="47899"/>
    <x v="7"/>
    <x v="7"/>
    <n v="0.12"/>
    <n v="1373.0099999999998"/>
    <n v="8.0000000000000002E-3"/>
    <n v="190.94400000000002"/>
    <n v="0.01"/>
    <n v="238.68"/>
    <n v="0.06"/>
    <n v="1330.98"/>
    <n v="7.0000000000000007E-2"/>
    <n v="1670.7600000000002"/>
    <n v="1670.7600000000002"/>
    <n v="5100.2800000000007"/>
    <n v="64.186751984303385"/>
    <n v="1329.3134505177584"/>
    <n v="3.5000000000000003E-2"/>
    <n v="835.38000000000011"/>
    <n v="0.1"/>
    <n v="1144.1750000000002"/>
    <n v="358.02"/>
    <n v="358.02"/>
    <n v="2.7843826827454103"/>
    <n v="198.27691875490424"/>
    <n v="1117.0224000000001"/>
    <n v="930.85200000000009"/>
    <n v="2965.2340000000004"/>
    <n v="313.32"/>
    <n v="417.76"/>
    <n v="313.32"/>
    <n v="16.616777468145902"/>
    <n v="18.198"/>
    <n v="1221.0707430090461"/>
    <n v="459.10898662120456"/>
    <m/>
  </r>
  <r>
    <x v="10"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m/>
    <x v="0"/>
    <x v="0"/>
    <m/>
    <n v="-5679.5245154999975"/>
    <m/>
    <n v="0"/>
    <m/>
    <n v="0"/>
    <m/>
    <n v="15980"/>
    <m/>
    <m/>
    <n v="0"/>
    <m/>
    <n v="4793.6932174222811"/>
    <n v="-6848.470026020681"/>
    <m/>
    <n v="0"/>
    <m/>
    <n v="-4732.9370962499997"/>
    <n v="0"/>
    <n v="0"/>
    <n v="0"/>
    <n v="0"/>
    <n v="-17726.374742543998"/>
    <n v="0"/>
    <n v="0"/>
    <n v="0"/>
    <n v="-2435.0290439999994"/>
    <n v="-1826.2717829999997"/>
    <m/>
    <n v="383.22804239999999"/>
    <n v="-10.978948098157598"/>
    <n v="0"/>
    <m/>
  </r>
  <r>
    <x v="12"/>
    <m/>
    <x v="0"/>
    <x v="0"/>
    <m/>
    <n v="5679.5245154999975"/>
    <n v="0"/>
    <n v="0"/>
    <n v="0"/>
    <n v="0"/>
    <n v="0"/>
    <n v="-15980"/>
    <n v="0"/>
    <n v="0"/>
    <n v="0"/>
    <m/>
    <n v="-4793.6932174222811"/>
    <n v="6848.470026020681"/>
    <n v="0"/>
    <n v="0"/>
    <n v="0"/>
    <n v="4732.9370962499997"/>
    <n v="0"/>
    <n v="0"/>
    <n v="0"/>
    <n v="0"/>
    <n v="17726.374742543998"/>
    <n v="0"/>
    <n v="0"/>
    <n v="0"/>
    <n v="2435.0290439999994"/>
    <n v="1826.2717829999997"/>
    <m/>
    <n v="-383.22804239999999"/>
    <n v="10.978948098157598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1"/>
    <x v="0"/>
    <x v="0"/>
  </r>
  <r>
    <x v="2"/>
    <x v="2"/>
    <x v="2"/>
    <x v="0"/>
    <x v="1"/>
    <x v="2"/>
    <x v="2"/>
    <x v="2"/>
    <x v="2"/>
    <x v="2"/>
    <x v="2"/>
    <x v="2"/>
    <x v="2"/>
    <x v="2"/>
    <x v="0"/>
    <x v="2"/>
    <x v="0"/>
    <x v="2"/>
    <x v="2"/>
    <x v="2"/>
    <x v="1"/>
    <x v="2"/>
    <x v="0"/>
    <x v="0"/>
    <x v="2"/>
    <x v="2"/>
    <x v="0"/>
    <x v="0"/>
    <x v="2"/>
    <x v="0"/>
    <x v="0"/>
    <x v="0"/>
    <x v="0"/>
    <x v="0"/>
    <x v="0"/>
    <x v="0"/>
    <x v="0"/>
  </r>
  <r>
    <x v="3"/>
    <x v="3"/>
    <x v="3"/>
    <x v="2"/>
    <x v="1"/>
    <x v="3"/>
    <x v="2"/>
    <x v="2"/>
    <x v="2"/>
    <x v="2"/>
    <x v="2"/>
    <x v="2"/>
    <x v="2"/>
    <x v="2"/>
    <x v="0"/>
    <x v="0"/>
    <x v="0"/>
    <x v="3"/>
    <x v="2"/>
    <x v="2"/>
    <x v="1"/>
    <x v="3"/>
    <x v="0"/>
    <x v="0"/>
    <x v="2"/>
    <x v="2"/>
    <x v="0"/>
    <x v="0"/>
    <x v="3"/>
    <x v="1"/>
    <x v="1"/>
    <x v="1"/>
    <x v="1"/>
    <x v="0"/>
    <x v="2"/>
    <x v="0"/>
    <x v="0"/>
  </r>
  <r>
    <x v="4"/>
    <x v="4"/>
    <x v="4"/>
    <x v="3"/>
    <x v="1"/>
    <x v="4"/>
    <x v="2"/>
    <x v="2"/>
    <x v="2"/>
    <x v="2"/>
    <x v="2"/>
    <x v="3"/>
    <x v="2"/>
    <x v="2"/>
    <x v="0"/>
    <x v="3"/>
    <x v="0"/>
    <x v="0"/>
    <x v="2"/>
    <x v="2"/>
    <x v="1"/>
    <x v="4"/>
    <x v="0"/>
    <x v="0"/>
    <x v="2"/>
    <x v="2"/>
    <x v="0"/>
    <x v="0"/>
    <x v="4"/>
    <x v="0"/>
    <x v="0"/>
    <x v="0"/>
    <x v="0"/>
    <x v="1"/>
    <x v="3"/>
    <x v="0"/>
    <x v="0"/>
  </r>
  <r>
    <x v="5"/>
    <x v="0"/>
    <x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</r>
  <r>
    <x v="6"/>
    <x v="0"/>
    <x v="6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</r>
  <r>
    <x v="7"/>
    <x v="0"/>
    <x v="7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</r>
  <r>
    <x v="8"/>
    <x v="0"/>
    <x v="8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</r>
  <r>
    <x v="9"/>
    <x v="5"/>
    <x v="9"/>
    <x v="7"/>
    <x v="2"/>
    <x v="5"/>
    <x v="1"/>
    <x v="1"/>
    <x v="1"/>
    <x v="1"/>
    <x v="1"/>
    <x v="4"/>
    <x v="1"/>
    <x v="1"/>
    <x v="1"/>
    <x v="4"/>
    <x v="1"/>
    <x v="4"/>
    <x v="1"/>
    <x v="1"/>
    <x v="2"/>
    <x v="5"/>
    <x v="1"/>
    <x v="1"/>
    <x v="1"/>
    <x v="1"/>
    <x v="1"/>
    <x v="1"/>
    <x v="5"/>
    <x v="1"/>
    <x v="1"/>
    <x v="1"/>
    <x v="1"/>
    <x v="1"/>
    <x v="7"/>
    <x v="3"/>
    <x v="0"/>
  </r>
  <r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0"/>
    <x v="0"/>
    <x v="0"/>
    <x v="0"/>
    <x v="6"/>
    <x v="0"/>
    <x v="2"/>
    <x v="0"/>
    <x v="2"/>
    <x v="0"/>
    <x v="5"/>
    <x v="0"/>
    <x v="0"/>
    <x v="2"/>
    <x v="0"/>
    <x v="2"/>
    <x v="5"/>
    <x v="0"/>
    <x v="2"/>
    <x v="0"/>
    <x v="6"/>
    <x v="2"/>
    <x v="2"/>
    <x v="2"/>
    <x v="2"/>
    <x v="2"/>
    <x v="2"/>
    <x v="6"/>
    <x v="2"/>
    <x v="2"/>
    <x v="2"/>
    <x v="0"/>
    <x v="2"/>
    <x v="8"/>
    <x v="4"/>
    <x v="0"/>
  </r>
  <r>
    <x v="12"/>
    <x v="0"/>
    <x v="0"/>
    <x v="0"/>
    <x v="0"/>
    <x v="7"/>
    <x v="2"/>
    <x v="2"/>
    <x v="2"/>
    <x v="2"/>
    <x v="2"/>
    <x v="6"/>
    <x v="2"/>
    <x v="2"/>
    <x v="2"/>
    <x v="0"/>
    <x v="3"/>
    <x v="6"/>
    <x v="2"/>
    <x v="2"/>
    <x v="3"/>
    <x v="7"/>
    <x v="2"/>
    <x v="2"/>
    <x v="2"/>
    <x v="2"/>
    <x v="3"/>
    <x v="2"/>
    <x v="6"/>
    <x v="2"/>
    <x v="3"/>
    <x v="3"/>
    <x v="0"/>
    <x v="3"/>
    <x v="9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1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29:L3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name="BAU TJ 20202"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8">
    <dataField name="BAU TJ 2020" fld="2" baseField="0" baseItem="0"/>
    <dataField name=" EE TJ 2020 kokkuhoid, min" fld="3" baseField="0" baseItem="0"/>
    <dataField name="Raudtee elektrifitseerimine" fld="35" baseField="0" baseItem="0"/>
    <dataField name="Raskeveokite rehvid_" fld="30" baseField="0" baseItem="0"/>
    <dataField name="Raskeveokite aerodünaamika_" fld="31" baseField="0" baseItem="0"/>
    <dataField name="Hübriidvedurid" fld="36" baseField="0" baseItem="0"/>
    <dataField name="Kütusesäästlikud bussid" fld="33" baseField="0" baseItem="0"/>
    <dataField name="Kuni 12t veokite start-stop" fld="32" baseField="0" baseItem="0"/>
  </dataFields>
  <formats count="25">
    <format dxfId="208">
      <pivotArea collapsedLevelsAreSubtotals="1" fieldPosition="0">
        <references count="1">
          <reference field="0" count="0"/>
        </references>
      </pivotArea>
    </format>
    <format dxfId="207">
      <pivotArea grandRow="1" outline="0" collapsedLevelsAreSubtotals="1" fieldPosition="0"/>
    </format>
    <format dxfId="206">
      <pivotArea dataOnly="0" labelOnly="1" fieldPosition="0">
        <references count="1">
          <reference field="0" count="0"/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outline="0" collapsedLevelsAreSubtotals="1" fieldPosition="0"/>
    </format>
    <format dxfId="202">
      <pivotArea collapsedLevelsAreSubtotals="1" fieldPosition="0">
        <references count="1">
          <reference field="4294967294" count="1">
            <x v="1"/>
          </reference>
        </references>
      </pivotArea>
    </format>
    <format dxfId="2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0">
      <pivotArea grandCol="1" outline="0" collapsedLevelsAreSubtotals="1" fieldPosition="0"/>
    </format>
    <format dxfId="199">
      <pivotArea collapsedLevelsAreSubtotals="1" fieldPosition="0">
        <references count="1">
          <reference field="4294967294" count="1">
            <x v="1"/>
          </reference>
        </references>
      </pivotArea>
    </format>
    <format dxfId="1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7">
      <pivotArea type="all" dataOnly="0" outline="0" fieldPosition="0"/>
    </format>
    <format dxfId="196">
      <pivotArea type="all" dataOnly="0" outline="0" fieldPosition="0"/>
    </format>
    <format dxfId="19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3">
      <pivotArea type="all" dataOnly="0" outline="0" fieldPosition="0"/>
    </format>
    <format dxfId="1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1">
      <pivotArea dataOnly="0" outline="0" fieldPosition="0">
        <references count="1">
          <reference field="4294967294" count="1">
            <x v="0"/>
          </reference>
        </references>
      </pivotArea>
    </format>
    <format dxfId="19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">
      <pivotArea field="0" grandCol="1" collapsedLevelsAreSubtotals="1" axis="axisCol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8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4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10.xml><?xml version="1.0" encoding="utf-8"?>
<pivotTableDefinition xmlns="http://schemas.openxmlformats.org/spreadsheetml/2006/main" name="PivotTable18" cacheId="0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52:L5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5">
    <dataField name=" EE TJ 2020 kokkuhoid, min" fld="3" baseField="0" baseItem="0"/>
    <dataField name="Maakasutuse suunamine, planeerimine" fld="28" baseField="0" baseItem="0"/>
    <dataField name="Linnatänavate ümberkorrald." fld="27" baseField="0" baseItem="0"/>
    <dataField name="Linnade parkimispoliitika, cash-out" fld="26" baseField="0" baseItem="0"/>
    <dataField name="Linnade liikuvuskorraldus" fld="25" baseField="0" baseItem="0"/>
  </dataFields>
  <formats count="34">
    <format dxfId="183">
      <pivotArea collapsedLevelsAreSubtotals="1" fieldPosition="0">
        <references count="1">
          <reference field="0" count="0"/>
        </references>
      </pivotArea>
    </format>
    <format dxfId="182">
      <pivotArea grandRow="1" outline="0" collapsedLevelsAreSubtotals="1" fieldPosition="0"/>
    </format>
    <format dxfId="181">
      <pivotArea dataOnly="0" labelOnly="1" fieldPosition="0">
        <references count="1">
          <reference field="0" count="0"/>
        </references>
      </pivotArea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field="0" grandCol="1" collapsedLevelsAreSubtotals="1" axis="axisCol" fieldPosition="0">
        <references count="1">
          <reference field="4294967294" count="1">
            <x v="1"/>
          </reference>
        </references>
      </pivotArea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5">
      <pivotArea collapsedLevelsAreSubtotals="1" fieldPosition="0">
        <references count="1">
          <reference field="4294967294" count="1">
            <x v="0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grandCol="1" outline="0" collapsedLevelsAreSubtotals="1" fieldPosition="0"/>
    </format>
    <format dxfId="172">
      <pivotArea collapsedLevelsAreSubtotals="1" fieldPosition="0">
        <references count="1">
          <reference field="4294967294" count="1">
            <x v="0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type="all" dataOnly="0" outline="0" fieldPosition="0"/>
    </format>
    <format dxfId="169">
      <pivotArea type="all" dataOnly="0" outline="0" fieldPosition="0"/>
    </format>
    <format dxfId="16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7">
      <pivotArea collapsedLevelsAreSubtotals="1" fieldPosition="0">
        <references count="1">
          <reference field="4294967294" count="1">
            <x v="2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5">
      <pivotArea collapsedLevelsAreSubtotals="1" fieldPosition="0">
        <references count="1">
          <reference field="4294967294" count="1">
            <x v="2"/>
          </reference>
        </references>
      </pivotArea>
    </format>
    <format dxfId="164">
      <pivotArea collapsedLevelsAreSubtotals="1" fieldPosition="0">
        <references count="1">
          <reference field="4294967294" count="2">
            <x v="1"/>
            <x v="2"/>
          </reference>
        </references>
      </pivotArea>
    </format>
    <format dxfId="163">
      <pivotArea field="0" grandCol="1" collapsedLevelsAreSubtotals="1" axis="axisCol" fieldPosition="0">
        <references count="1">
          <reference field="4294967294" count="2">
            <x v="1"/>
            <x v="2"/>
          </reference>
        </references>
      </pivotArea>
    </format>
    <format dxfId="162">
      <pivotArea field="0" grandCol="1" collapsedLevelsAreSubtotals="1" axis="axisCol" fieldPosition="0">
        <references count="1">
          <reference field="4294967294" count="2">
            <x v="1"/>
            <x v="2"/>
          </reference>
        </references>
      </pivotArea>
    </format>
    <format dxfId="1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9">
      <pivotArea type="all" dataOnly="0" outline="0" fieldPosition="0"/>
    </format>
    <format dxfId="1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7">
      <pivotArea collapsedLevelsAreSubtotals="1" fieldPosition="0">
        <references count="1">
          <reference field="4294967294" count="1">
            <x v="0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collapsedLevelsAreSubtotals="1" fieldPosition="0">
        <references count="1">
          <reference field="4294967294" count="1">
            <x v="0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3">
      <pivotArea grandCol="1" outline="0" collapsedLevelsAreSubtotals="1" fieldPosition="0"/>
    </format>
    <format dxfId="152">
      <pivotArea grandCol="1" outline="0" collapsedLevelsAreSubtotals="1" fieldPosition="0"/>
    </format>
    <format dxfId="151">
      <pivotArea collapsedLevelsAreSubtotals="1" fieldPosition="0">
        <references count="1">
          <reference field="4294967294" count="1">
            <x v="3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2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5" cacheId="1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15:L25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name="BAU TJ 20202"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name="Linnade liikuvuskorraldus2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0">
    <dataField name="BAU TJ 2020" fld="2" baseField="0" baseItem="0"/>
    <dataField name=" EE TJ 2020 kokkuhoid, min" fld="3" baseField="0" baseItem="0"/>
    <dataField name="Autode teekasutustasud" fld="15" baseField="0" baseItem="0"/>
    <dataField name="Sõiduauto reg. maks" fld="13" baseField="0" baseItem="0"/>
    <dataField name="Automaks, aasta" fld="14" baseField="0" baseItem="0"/>
    <dataField name="Linnade parkimispoliitika, cash-out" fld="26" baseField="0" baseItem="0"/>
    <dataField name="Ummikumaks, Tallinnas" fld="17" baseField="0" baseItem="0"/>
    <dataField name=" Kütuseaktsiisi tõstmine" fld="21" baseField="0" baseItem="0"/>
    <dataField name=" Raskeveokite teekasutustasud" fld="29" baseField="0" baseItem="0"/>
    <dataField name="Elektriautode soodustused" fld="16" baseField="0" baseItem="0"/>
  </dataFields>
  <formats count="46">
    <format dxfId="254">
      <pivotArea collapsedLevelsAreSubtotals="1" fieldPosition="0">
        <references count="1">
          <reference field="0" count="0"/>
        </references>
      </pivotArea>
    </format>
    <format dxfId="253">
      <pivotArea grandRow="1" outline="0" collapsedLevelsAreSubtotals="1" fieldPosition="0"/>
    </format>
    <format dxfId="252">
      <pivotArea dataOnly="0" labelOnly="1" fieldPosition="0">
        <references count="1">
          <reference field="0" count="0"/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0" grandCol="1" collapsedLevelsAreSubtotals="1" axis="axisCol" fieldPosition="0">
        <references count="1">
          <reference field="4294967294" count="4">
            <x v="3"/>
            <x v="4"/>
            <x v="6"/>
            <x v="8"/>
          </reference>
        </references>
      </pivotArea>
    </format>
    <format dxfId="248">
      <pivotArea outline="0" collapsedLevelsAreSubtotals="1" fieldPosition="0"/>
    </format>
    <format dxfId="247">
      <pivotArea dataOnly="0" labelOnly="1" outline="0" fieldPosition="0">
        <references count="1">
          <reference field="4294967294" count="4">
            <x v="3"/>
            <x v="4"/>
            <x v="6"/>
            <x v="8"/>
          </reference>
        </references>
      </pivotArea>
    </format>
    <format dxfId="246">
      <pivotArea collapsedLevelsAreSubtotals="1" fieldPosition="0">
        <references count="1">
          <reference field="4294967294" count="1">
            <x v="1"/>
          </reference>
        </references>
      </pivotArea>
    </format>
    <format dxfId="2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4">
      <pivotArea grandCol="1" outline="0" collapsedLevelsAreSubtotals="1" fieldPosition="0"/>
    </format>
    <format dxfId="243">
      <pivotArea collapsedLevelsAreSubtotals="1" fieldPosition="0">
        <references count="1">
          <reference field="4294967294" count="1">
            <x v="1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1">
      <pivotArea type="all" dataOnly="0" outline="0" fieldPosition="0"/>
    </format>
    <format dxfId="240">
      <pivotArea type="all" dataOnly="0" outline="0" fieldPosition="0"/>
    </format>
    <format dxfId="23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8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237">
      <pivotArea dataOnly="0" outline="0" fieldPosition="0">
        <references count="1">
          <reference field="4294967294" count="1">
            <x v="6"/>
          </reference>
        </references>
      </pivotArea>
    </format>
    <format dxfId="236">
      <pivotArea dataOnly="0" outline="0" fieldPosition="0">
        <references count="1">
          <reference field="4294967294" count="1">
            <x v="5"/>
          </reference>
        </references>
      </pivotArea>
    </format>
    <format dxfId="235">
      <pivotArea dataOnly="0" outline="0" fieldPosition="0">
        <references count="1">
          <reference field="4294967294" count="1">
            <x v="8"/>
          </reference>
        </references>
      </pivotArea>
    </format>
    <format dxfId="234">
      <pivotArea collapsedLevelsAreSubtotals="1" fieldPosition="0">
        <references count="1">
          <reference field="4294967294" count="2">
            <x v="3"/>
            <x v="4"/>
          </reference>
        </references>
      </pivotArea>
    </format>
    <format dxfId="233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32">
      <pivotArea collapsedLevelsAreSubtotals="1" fieldPosition="0">
        <references count="1">
          <reference field="4294967294" count="3">
            <x v="5"/>
            <x v="6"/>
            <x v="8"/>
          </reference>
        </references>
      </pivotArea>
    </format>
    <format dxfId="231">
      <pivotArea dataOnly="0" labelOnly="1" outline="0" fieldPosition="0">
        <references count="1">
          <reference field="4294967294" count="3">
            <x v="5"/>
            <x v="6"/>
            <x v="8"/>
          </reference>
        </references>
      </pivotArea>
    </format>
    <format dxfId="230">
      <pivotArea collapsedLevelsAreSubtotals="1" fieldPosition="0">
        <references count="1">
          <reference field="4294967294" count="5">
            <x v="3"/>
            <x v="4"/>
            <x v="5"/>
            <x v="6"/>
            <x v="8"/>
          </reference>
        </references>
      </pivotArea>
    </format>
    <format dxfId="229">
      <pivotArea collapsedLevelsAreSubtotals="1" fieldPosition="0">
        <references count="1">
          <reference field="4294967294" count="5">
            <x v="3"/>
            <x v="4"/>
            <x v="5"/>
            <x v="6"/>
            <x v="8"/>
          </reference>
        </references>
      </pivotArea>
    </format>
    <format dxfId="228">
      <pivotArea field="0" grandCol="1" collapsedLevelsAreSubtotals="1" axis="axisCol" fieldPosition="0">
        <references count="1">
          <reference field="4294967294" count="5">
            <x v="3"/>
            <x v="4"/>
            <x v="5"/>
            <x v="6"/>
            <x v="8"/>
          </reference>
        </references>
      </pivotArea>
    </format>
    <format dxfId="227">
      <pivotArea field="0" grandCol="1" collapsedLevelsAreSubtotals="1" axis="axisCol" fieldPosition="0">
        <references count="1">
          <reference field="4294967294" count="5">
            <x v="3"/>
            <x v="4"/>
            <x v="5"/>
            <x v="6"/>
            <x v="8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25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24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23">
      <pivotArea collapsedLevelsAreSubtotals="1" fieldPosition="0">
        <references count="1">
          <reference field="4294967294" count="2">
            <x v="3"/>
            <x v="4"/>
          </reference>
        </references>
      </pivotArea>
    </format>
    <format dxfId="222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221">
      <pivotArea dataOnly="0" outline="0" fieldPosition="0">
        <references count="1">
          <reference field="4294967294" count="1">
            <x v="4"/>
          </reference>
        </references>
      </pivotArea>
    </format>
    <format dxfId="220">
      <pivotArea type="all" dataOnly="0" outline="0" fieldPosition="0"/>
    </format>
    <format dxfId="21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18">
      <pivotArea dataOnly="0" labelOnly="1" outline="0" fieldPosition="0">
        <references count="1">
          <reference field="4294967294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7">
      <pivotArea dataOnly="0" outline="0" fieldPosition="0">
        <references count="1">
          <reference field="4294967294" count="1">
            <x v="0"/>
          </reference>
        </references>
      </pivotArea>
    </format>
    <format dxfId="216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">
      <pivotArea field="0" grandCol="1" collapsedLevelsAreSubtotals="1" axis="axisCol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11">
      <pivotArea grandCol="1" outline="0" collapsedLevelsAreSubtotals="1" fieldPosition="0"/>
    </format>
    <format dxfId="210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209">
      <pivotArea field="0" grandCol="1" collapsedLevelsAreSubtotals="1" axis="axisCol" fieldPosition="0">
        <references count="1">
          <reference field="4294967294" count="1">
            <x v="9"/>
          </reference>
        </references>
      </pivotArea>
    </format>
  </formats>
  <pivotTableStyleInfo name="PivotStyleLight2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14" cacheId="1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3:L10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name="BAU TJ 20202" dataField="1" showAll="0" defaultSubtotal="0"/>
    <pivotField dataField="1" showAll="0" defaultSubtota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7">
    <dataField name=" BAU TJ 2020" fld="2" baseField="0" baseItem="0"/>
    <dataField name=" EE TJ 2020 kokkuhoid, min" fld="3" baseField="0" baseItem="0"/>
    <dataField name=" EcoDrive" fld="5" baseField="0" baseItem="0"/>
    <dataField name=" Kaugtöö, e-teenused" fld="19" baseField="0" baseItem="0"/>
    <dataField name=" ÜT kampaaniad ja otseturundus" fld="9" baseField="0" baseItem="0"/>
    <dataField name="Liikuvuskorraldus, kavad" fld="25" baseField="0" baseItem="0"/>
    <dataField name="Autode kooskasutus" fld="7" baseField="0" baseItem="0"/>
  </dataFields>
  <formats count="38">
    <format dxfId="292">
      <pivotArea dataOnly="0" labelOnly="1" outline="0" fieldPosition="0">
        <references count="1">
          <reference field="4294967294" count="4">
            <x v="2"/>
            <x v="3"/>
            <x v="4"/>
            <x v="6"/>
          </reference>
        </references>
      </pivotArea>
    </format>
    <format dxfId="291">
      <pivotArea collapsedLevelsAreSubtotals="1" fieldPosition="0">
        <references count="1">
          <reference field="0" count="0"/>
        </references>
      </pivotArea>
    </format>
    <format dxfId="290">
      <pivotArea grandRow="1" outline="0" collapsedLevelsAreSubtotals="1" fieldPosition="0"/>
    </format>
    <format dxfId="289">
      <pivotArea dataOnly="0" labelOnly="1" fieldPosition="0">
        <references count="1">
          <reference field="0" count="0"/>
        </references>
      </pivotArea>
    </format>
    <format dxfId="288">
      <pivotArea type="all" dataOnly="0" outline="0" fieldPosition="0"/>
    </format>
    <format dxfId="287">
      <pivotArea outline="0" collapsedLevelsAreSubtotals="1" fieldPosition="0"/>
    </format>
    <format dxfId="286">
      <pivotArea field="0" grandCol="1" collapsedLevelsAreSubtotals="1" axis="axisCol" fieldPosition="0">
        <references count="1">
          <reference field="4294967294" count="5">
            <x v="2"/>
            <x v="3"/>
            <x v="4"/>
            <x v="5"/>
            <x v="6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4294967294" count="5">
            <x v="2"/>
            <x v="3"/>
            <x v="4"/>
            <x v="5"/>
            <x v="6"/>
          </reference>
        </references>
      </pivotArea>
    </format>
    <format dxfId="283">
      <pivotArea collapsedLevelsAreSubtotals="1" fieldPosition="0">
        <references count="1">
          <reference field="4294967294" count="1">
            <x v="1"/>
          </reference>
        </references>
      </pivotArea>
    </format>
    <format dxfId="28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1">
      <pivotArea grandCol="1" outline="0" collapsedLevelsAreSubtotals="1" fieldPosition="0"/>
    </format>
    <format dxfId="280">
      <pivotArea collapsedLevelsAreSubtotals="1" fieldPosition="0">
        <references count="1">
          <reference field="4294967294" count="1">
            <x v="1"/>
          </reference>
        </references>
      </pivotArea>
    </format>
    <format dxfId="2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8">
      <pivotArea type="all" dataOnly="0" outline="0" fieldPosition="0"/>
    </format>
    <format dxfId="277">
      <pivotArea type="all" dataOnly="0" outline="0" fieldPosition="0"/>
    </format>
    <format dxfId="276">
      <pivotArea collapsedLevelsAreSubtotals="1" fieldPosition="0">
        <references count="1">
          <reference field="4294967294" count="1">
            <x v="3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4">
      <pivotArea collapsedLevelsAreSubtotals="1" fieldPosition="0">
        <references count="1">
          <reference field="4294967294" count="3">
            <x v="3"/>
            <x v="4"/>
            <x v="5"/>
          </reference>
        </references>
      </pivotArea>
    </format>
    <format dxfId="273">
      <pivotArea collapsedLevelsAreSubtotals="1" fieldPosition="0">
        <references count="1">
          <reference field="4294967294" count="3">
            <x v="3"/>
            <x v="4"/>
            <x v="5"/>
          </reference>
        </references>
      </pivotArea>
    </format>
    <format dxfId="272">
      <pivotArea field="0" grandCol="1" collapsedLevelsAreSubtotals="1" axis="axisCol" fieldPosition="0">
        <references count="1">
          <reference field="4294967294" count="3">
            <x v="3"/>
            <x v="4"/>
            <x v="5"/>
          </reference>
        </references>
      </pivotArea>
    </format>
    <format dxfId="271">
      <pivotArea field="0" grandCol="1" collapsedLevelsAreSubtotals="1" axis="axisCol" fieldPosition="0">
        <references count="1">
          <reference field="4294967294" count="3">
            <x v="3"/>
            <x v="4"/>
            <x v="5"/>
          </reference>
        </references>
      </pivotArea>
    </format>
    <format dxfId="270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269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268">
      <pivotArea type="all" dataOnly="0" outline="0" fieldPosition="0"/>
    </format>
    <format dxfId="267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266">
      <pivotArea dataOnly="0" outline="0" fieldPosition="0">
        <references count="1">
          <reference field="4294967294" count="1">
            <x v="0"/>
          </reference>
        </references>
      </pivotArea>
    </format>
    <format dxfId="26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1">
      <pivotArea type="all" dataOnly="0" outline="0" fieldPosition="0"/>
    </format>
    <format dxfId="260">
      <pivotArea type="all" dataOnly="0" outline="0" fieldPosition="0"/>
    </format>
    <format dxfId="25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7">
      <pivotArea grandCol="1" outline="0" collapsedLevelsAreSubtotals="1" fieldPosition="0"/>
    </format>
    <format dxfId="2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5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18" cacheId="1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51:L5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name="BAU TJ 20202"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6">
    <dataField name=" BAU TJ 2020" fld="2" baseField="0" baseItem="0"/>
    <dataField name=" EE TJ 2020 kokkuhoid, min" fld="3" baseField="0" baseItem="0"/>
    <dataField name="Maakasutuse suunamine, planeerimine" fld="28" baseField="0" baseItem="0"/>
    <dataField name="Linnatänavate ümberkorrald." fld="27" baseField="0" baseItem="0"/>
    <dataField name="Linnade parkimispoliitika, cash-out" fld="26" baseField="0" baseItem="0"/>
    <dataField name="Linnade liikuvuskorraldus" fld="25" baseField="0" baseItem="0"/>
  </dataFields>
  <formats count="33">
    <format dxfId="325">
      <pivotArea collapsedLevelsAreSubtotals="1" fieldPosition="0">
        <references count="1">
          <reference field="0" count="0"/>
        </references>
      </pivotArea>
    </format>
    <format dxfId="324">
      <pivotArea grandRow="1" outline="0" collapsedLevelsAreSubtotals="1" fieldPosition="0"/>
    </format>
    <format dxfId="323">
      <pivotArea dataOnly="0" labelOnly="1" fieldPosition="0">
        <references count="1">
          <reference field="0" count="0"/>
        </references>
      </pivotArea>
    </format>
    <format dxfId="322">
      <pivotArea type="all" dataOnly="0" outline="0" fieldPosition="0"/>
    </format>
    <format dxfId="321">
      <pivotArea dataOnly="0" outline="0" fieldPosition="0">
        <references count="1">
          <reference field="4294967294" count="1">
            <x v="0"/>
          </reference>
        </references>
      </pivotArea>
    </format>
    <format dxfId="320">
      <pivotArea outline="0" collapsedLevelsAreSubtotals="1" fieldPosition="0"/>
    </format>
    <format dxfId="319">
      <pivotArea field="0" grandCol="1" collapsedLevelsAreSubtotals="1" axis="axisCol" fieldPosition="0">
        <references count="1">
          <reference field="4294967294" count="1">
            <x v="2"/>
          </reference>
        </references>
      </pivotArea>
    </format>
    <format dxfId="318">
      <pivotArea outline="0" collapsedLevelsAreSubtotals="1" fieldPosition="0"/>
    </format>
    <format dxfId="317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16">
      <pivotArea collapsedLevelsAreSubtotals="1" fieldPosition="0">
        <references count="1">
          <reference field="4294967294" count="1">
            <x v="1"/>
          </reference>
        </references>
      </pivotArea>
    </format>
    <format dxfId="3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4">
      <pivotArea grandCol="1" outline="0" collapsedLevelsAreSubtotals="1" fieldPosition="0"/>
    </format>
    <format dxfId="31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3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8">
      <pivotArea collapsedLevelsAreSubtotals="1" fieldPosition="0">
        <references count="1">
          <reference field="4294967294" count="1">
            <x v="3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6">
      <pivotArea collapsedLevelsAreSubtotals="1" fieldPosition="0">
        <references count="1">
          <reference field="4294967294" count="1">
            <x v="3"/>
          </reference>
        </references>
      </pivotArea>
    </format>
    <format dxfId="305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304">
      <pivotArea field="0" grandCol="1" collapsedLevelsAreSubtotals="1" axis="axisCol" fieldPosition="0">
        <references count="1">
          <reference field="4294967294" count="2">
            <x v="2"/>
            <x v="3"/>
          </reference>
        </references>
      </pivotArea>
    </format>
    <format dxfId="303">
      <pivotArea field="0" grandCol="1" collapsedLevelsAreSubtotals="1" axis="axisCol" fieldPosition="0">
        <references count="1">
          <reference field="4294967294" count="2">
            <x v="2"/>
            <x v="3"/>
          </reference>
        </references>
      </pivotArea>
    </format>
    <format dxfId="30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0">
      <pivotArea type="all" dataOnly="0" outline="0" fieldPosition="0"/>
    </format>
    <format dxfId="2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6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2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4">
      <pivotArea grandCol="1" outline="0" collapsedLevelsAreSubtotals="1" fieldPosition="0"/>
    </format>
    <format dxfId="293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5.xml><?xml version="1.0" encoding="utf-8"?>
<pivotTableDefinition xmlns="http://schemas.openxmlformats.org/spreadsheetml/2006/main" name="PivotTable17" cacheId="1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41:L4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name="BAU TJ 20202"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name="Linnade liikuvuskorraldus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6">
    <dataField name=" BAU TJ 2020" fld="2" baseField="0" baseItem="0"/>
    <dataField name=" EE TJ 2020 kokkuhoid, min" fld="3" baseField="0" baseItem="0"/>
    <dataField name="20% ÜT-teenuse lisamine" fld="11" baseField="0" baseItem="0"/>
    <dataField name="Rail Baltic " fld="34" baseField="0" baseItem="0"/>
    <dataField name="Raudtee elektr." fld="35" baseField="0" baseItem="0"/>
    <dataField name="Kergliikluse arend." fld="22" baseField="0" baseItem="0"/>
  </dataFields>
  <formats count="44">
    <format dxfId="3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8">
      <pivotArea collapsedLevelsAreSubtotals="1" fieldPosition="0">
        <references count="1">
          <reference field="0" count="0"/>
        </references>
      </pivotArea>
    </format>
    <format dxfId="367">
      <pivotArea grandRow="1" outline="0" collapsedLevelsAreSubtotals="1" fieldPosition="0"/>
    </format>
    <format dxfId="366">
      <pivotArea dataOnly="0" labelOnly="1" fieldPosition="0">
        <references count="1">
          <reference field="0" count="0"/>
        </references>
      </pivotArea>
    </format>
    <format dxfId="365">
      <pivotArea type="all" dataOnly="0" outline="0" fieldPosition="0"/>
    </format>
    <format dxfId="364">
      <pivotArea dataOnly="0" outline="0" fieldPosition="0">
        <references count="1">
          <reference field="4294967294" count="1">
            <x v="0"/>
          </reference>
        </references>
      </pivotArea>
    </format>
    <format dxfId="363">
      <pivotArea outline="0" collapsedLevelsAreSubtotals="1" fieldPosition="0"/>
    </format>
    <format dxfId="362">
      <pivotArea field="0" grandCol="1" collapsedLevelsAreSubtotals="1" axis="axisCol" fieldPosition="0">
        <references count="1">
          <reference field="4294967294" count="2">
            <x v="2"/>
            <x v="5"/>
          </reference>
        </references>
      </pivotArea>
    </format>
    <format dxfId="361">
      <pivotArea outline="0" collapsedLevelsAreSubtotals="1" fieldPosition="0"/>
    </format>
    <format dxfId="360">
      <pivotArea dataOnly="0" labelOnly="1" outline="0" fieldPosition="0">
        <references count="1">
          <reference field="4294967294" count="3">
            <x v="0"/>
            <x v="2"/>
            <x v="5"/>
          </reference>
        </references>
      </pivotArea>
    </format>
    <format dxfId="359">
      <pivotArea collapsedLevelsAreSubtotals="1" fieldPosition="0">
        <references count="1">
          <reference field="4294967294" count="1">
            <x v="1"/>
          </reference>
        </references>
      </pivotArea>
    </format>
    <format dxfId="3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7">
      <pivotArea field="0" grandCol="1" collapsedLevelsAreSubtotals="1" axis="axisCol" fieldPosition="0">
        <references count="1">
          <reference field="4294967294" count="1">
            <x v="3"/>
          </reference>
        </references>
      </pivotArea>
    </format>
    <format dxfId="35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355">
      <pivotArea field="0" grandCol="1" collapsedLevelsAreSubtotals="1" axis="axisCol" fieldPosition="0">
        <references count="1">
          <reference field="4294967294" count="1">
            <x v="4"/>
          </reference>
        </references>
      </pivotArea>
    </format>
    <format dxfId="354">
      <pivotArea field="0" grandCol="1" collapsedLevelsAreSubtotals="1" axis="axisCol" fieldPosition="0">
        <references count="1">
          <reference field="4294967294" count="1">
            <x v="4"/>
          </reference>
        </references>
      </pivotArea>
    </format>
    <format dxfId="353">
      <pivotArea grandCol="1" outline="0" collapsedLevelsAreSubtotals="1" fieldPosition="0"/>
    </format>
    <format dxfId="352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3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49">
      <pivotArea type="all" dataOnly="0" outline="0" fieldPosition="0"/>
    </format>
    <format dxfId="348">
      <pivotArea type="all" dataOnly="0" outline="0" fieldPosition="0"/>
    </format>
    <format dxfId="347">
      <pivotArea collapsedLevelsAreSubtotals="1" fieldPosition="0">
        <references count="2">
          <reference field="4294967294" count="1">
            <x v="4"/>
          </reference>
          <reference field="0" count="3" selected="0">
            <x v="5"/>
            <x v="6"/>
            <x v="7"/>
          </reference>
        </references>
      </pivotArea>
    </format>
    <format dxfId="346">
      <pivotArea field="0" grandCol="1" collapsedLevelsAreSubtotals="1" axis="axisCol" fieldPosition="0">
        <references count="1">
          <reference field="4294967294" count="1">
            <x v="4"/>
          </reference>
        </references>
      </pivotArea>
    </format>
    <format dxfId="345">
      <pivotArea collapsedLevelsAreSubtotals="1" fieldPosition="0">
        <references count="2">
          <reference field="4294967294" count="1">
            <x v="3"/>
          </reference>
          <reference field="0" count="0" selected="0"/>
        </references>
      </pivotArea>
    </format>
    <format dxfId="344">
      <pivotArea collapsedLevelsAreSubtotals="1" fieldPosition="0">
        <references count="2">
          <reference field="4294967294" count="1">
            <x v="3"/>
          </reference>
          <reference field="0" count="0" selected="0"/>
        </references>
      </pivotArea>
    </format>
    <format dxfId="343">
      <pivotArea collapsedLevelsAreSubtotals="1" fieldPosition="0">
        <references count="1">
          <reference field="4294967294" count="1">
            <x v="3"/>
          </reference>
        </references>
      </pivotArea>
    </format>
    <format dxfId="342">
      <pivotArea collapsedLevelsAreSubtotals="1" fieldPosition="0">
        <references count="1">
          <reference field="4294967294" count="1">
            <x v="5"/>
          </reference>
        </references>
      </pivotArea>
    </format>
    <format dxfId="3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40">
      <pivotArea collapsedLevelsAreSubtotals="1" fieldPosition="0">
        <references count="1">
          <reference field="4294967294" count="2">
            <x v="2"/>
            <x v="5"/>
          </reference>
        </references>
      </pivotArea>
    </format>
    <format dxfId="339">
      <pivotArea collapsedLevelsAreSubtotals="1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38">
      <pivotArea field="0" grandCol="1" collapsedLevelsAreSubtotals="1" axis="axisCol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37">
      <pivotArea field="0" grandCol="1" collapsedLevelsAreSubtotals="1" axis="axisCol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3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4">
      <pivotArea type="all" dataOnly="0" outline="0" fieldPosition="0"/>
    </format>
    <format dxfId="33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3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3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3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7">
      <pivotArea grandCol="1" outline="0" collapsedLevelsAreSubtotals="1" fieldPosition="0"/>
    </format>
    <format dxfId="326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6.xml><?xml version="1.0" encoding="utf-8"?>
<pivotTableDefinition xmlns="http://schemas.openxmlformats.org/spreadsheetml/2006/main" name="PivotTable14" cacheId="0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 chartFormat="1">
  <location ref="A3:L9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dataField="1" showAll="0" defaultSubtotal="0"/>
    <pivotField showAll="0" defaultSubtota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6">
    <dataField name="Sum of BAU TJ 2030" fld="2" baseField="0" baseItem="0"/>
    <dataField name=" EcoDrive" fld="5" baseField="0" baseItem="0"/>
    <dataField name=" Kaugtöö, e-teenused" fld="19" baseField="0" baseItem="0"/>
    <dataField name=" ÜT kampaaniad ja otseturundus" fld="9" baseField="0" baseItem="0"/>
    <dataField name="Liikuvuskorraldus, kavad" fld="25" baseField="0" baseItem="0"/>
    <dataField name="Autode kooskasutus" fld="7" baseField="0" baseItem="0"/>
  </dataFields>
  <formats count="27">
    <format dxfId="37">
      <pivotArea dataOnly="0" labelOnly="1" outline="0" fieldPosition="0">
        <references count="1">
          <reference field="4294967294" count="4">
            <x v="1"/>
            <x v="2"/>
            <x v="3"/>
            <x v="5"/>
          </reference>
        </references>
      </pivotArea>
    </format>
    <format dxfId="36">
      <pivotArea collapsedLevelsAreSubtotals="1" fieldPosition="0">
        <references count="1">
          <reference field="0" count="0"/>
        </references>
      </pivotArea>
    </format>
    <format dxfId="35">
      <pivotArea grandRow="1" outline="0" collapsedLevelsAreSubtotals="1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grandCol="1" collapsedLevelsAreSubtotals="1" axis="axisCol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28">
      <pivotArea grandCol="1" outline="0" collapsedLevelsAreSubtotals="1" fieldPosition="0"/>
    </format>
    <format dxfId="27">
      <pivotArea type="all" dataOnly="0" outline="0" fieldPosition="0"/>
    </format>
    <format dxfId="26">
      <pivotArea type="all" dataOnly="0" outline="0" fieldPosition="0"/>
    </format>
    <format dxfId="25">
      <pivotArea collapsedLevelsAreSubtotals="1" fieldPosition="0">
        <references count="1">
          <reference field="4294967294" count="1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">
      <pivotArea collapsedLevelsAreSubtotals="1" fieldPosition="0">
        <references count="1">
          <reference field="4294967294" count="3">
            <x v="2"/>
            <x v="3"/>
            <x v="4"/>
          </reference>
        </references>
      </pivotArea>
    </format>
    <format dxfId="22">
      <pivotArea collapsedLevelsAreSubtotals="1" fieldPosition="0">
        <references count="1">
          <reference field="4294967294" count="3">
            <x v="2"/>
            <x v="3"/>
            <x v="4"/>
          </reference>
        </references>
      </pivotArea>
    </format>
    <format dxfId="21">
      <pivotArea field="0" grandCol="1" collapsedLevelsAreSubtotals="1" axis="axisCol" fieldPosition="0">
        <references count="1">
          <reference field="4294967294" count="3">
            <x v="2"/>
            <x v="3"/>
            <x v="4"/>
          </reference>
        </references>
      </pivotArea>
    </format>
    <format dxfId="20">
      <pivotArea field="0" grandCol="1" collapsedLevelsAreSubtotals="1" axis="axisCol" fieldPosition="0">
        <references count="1">
          <reference field="4294967294" count="3">
            <x v="2"/>
            <x v="3"/>
            <x v="4"/>
          </reference>
        </references>
      </pivotArea>
    </format>
    <format dxfId="19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7">
      <pivotArea type="all" dataOnly="0" outline="0" fieldPosition="0"/>
    </format>
    <format dxfId="16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5">
      <pivotArea type="all" dataOnly="0" outline="0" fieldPosition="0"/>
    </format>
    <format dxfId="14">
      <pivotArea type="all" dataOnly="0" outline="0" fieldPosition="0"/>
    </format>
    <format dxfId="13">
      <pivotArea grandCol="1" outline="0" collapsedLevelsAreSubtotals="1" fieldPosition="0"/>
    </format>
    <format dxfId="12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11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7.xml><?xml version="1.0" encoding="utf-8"?>
<pivotTableDefinition xmlns="http://schemas.openxmlformats.org/spreadsheetml/2006/main" name="PivotTable15" cacheId="0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16:L25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name="Linnade liikuvuskorraldus2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9">
    <dataField name=" EE TJ 2020 kokkuhoid, min" fld="3" baseField="0" baseItem="0"/>
    <dataField name="Autode teekasutustasud" fld="15" baseField="0" baseItem="0"/>
    <dataField name="Sõiduauto reg. maks" fld="13" baseField="0" baseItem="0"/>
    <dataField name="Automaks, aasta" fld="14" baseField="0" baseItem="0"/>
    <dataField name="Linnade parkimispoliitika, cash-out" fld="26" baseField="0" baseItem="0"/>
    <dataField name="Ummikumaks, Tallinnas" fld="17" baseField="0" baseItem="0"/>
    <dataField name=" Kütuseaktsiisi tõstmine" fld="21" baseField="0" baseItem="0"/>
    <dataField name=" Raskeveokite teekasutustasud" fld="29" baseField="0" baseItem="0"/>
    <dataField name="Elektriautode soodustused" fld="16" baseField="0" baseItem="0"/>
  </dataFields>
  <formats count="45">
    <format dxfId="82">
      <pivotArea collapsedLevelsAreSubtotals="1" fieldPosition="0">
        <references count="1">
          <reference field="0" count="0"/>
        </references>
      </pivotArea>
    </format>
    <format dxfId="81">
      <pivotArea grandRow="1" outline="0" collapsedLevelsAreSubtotals="1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grandCol="1" collapsedLevelsAreSubtotals="1" axis="axisCol" fieldPosition="0">
        <references count="1">
          <reference field="4294967294" count="4">
            <x v="2"/>
            <x v="3"/>
            <x v="5"/>
            <x v="7"/>
          </reference>
        </references>
      </pivotArea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4">
            <x v="2"/>
            <x v="3"/>
            <x v="5"/>
            <x v="7"/>
          </reference>
        </references>
      </pivotArea>
    </format>
    <format dxfId="74">
      <pivotArea collapsedLevelsAreSubtotals="1" fieldPosition="0">
        <references count="1">
          <reference field="4294967294" count="1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grandCol="1" outline="0" collapsedLevelsAreSubtotals="1" fieldPosition="0"/>
    </format>
    <format dxfId="71">
      <pivotArea collapsedLevelsAreSubtotals="1" fieldPosition="0">
        <references count="1">
          <reference field="4294967294" count="1">
            <x v="0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">
      <pivotArea type="all" dataOnly="0" outline="0" fieldPosition="0"/>
    </format>
    <format dxfId="68">
      <pivotArea type="all" dataOnly="0" outline="0" fieldPosition="0"/>
    </format>
    <format dxfId="6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6">
      <pivotArea dataOnly="0" outline="0" fieldPosition="0">
        <references count="1">
          <reference field="4294967294" count="2">
            <x v="2"/>
            <x v="3"/>
          </reference>
        </references>
      </pivotArea>
    </format>
    <format dxfId="65">
      <pivotArea dataOnly="0" outline="0" fieldPosition="0">
        <references count="1">
          <reference field="4294967294" count="1">
            <x v="5"/>
          </reference>
        </references>
      </pivotArea>
    </format>
    <format dxfId="64">
      <pivotArea dataOnly="0" outline="0" fieldPosition="0">
        <references count="1">
          <reference field="4294967294" count="1">
            <x v="4"/>
          </reference>
        </references>
      </pivotArea>
    </format>
    <format dxfId="63">
      <pivotArea dataOnly="0" outline="0" fieldPosition="0">
        <references count="1">
          <reference field="4294967294" count="1">
            <x v="7"/>
          </reference>
        </references>
      </pivotArea>
    </format>
    <format dxfId="62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61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60">
      <pivotArea collapsedLevelsAreSubtotals="1" fieldPosition="0">
        <references count="1">
          <reference field="4294967294" count="3">
            <x v="4"/>
            <x v="5"/>
            <x v="7"/>
          </reference>
        </references>
      </pivotArea>
    </format>
    <format dxfId="59">
      <pivotArea dataOnly="0" labelOnly="1" outline="0" fieldPosition="0">
        <references count="1">
          <reference field="4294967294" count="3">
            <x v="4"/>
            <x v="5"/>
            <x v="7"/>
          </reference>
        </references>
      </pivotArea>
    </format>
    <format dxfId="58">
      <pivotArea collapsedLevelsAreSubtotals="1" fieldPosition="0">
        <references count="1">
          <reference field="4294967294" count="5">
            <x v="2"/>
            <x v="3"/>
            <x v="4"/>
            <x v="5"/>
            <x v="7"/>
          </reference>
        </references>
      </pivotArea>
    </format>
    <format dxfId="57">
      <pivotArea collapsedLevelsAreSubtotals="1" fieldPosition="0">
        <references count="1">
          <reference field="4294967294" count="5">
            <x v="2"/>
            <x v="3"/>
            <x v="4"/>
            <x v="5"/>
            <x v="7"/>
          </reference>
        </references>
      </pivotArea>
    </format>
    <format dxfId="56">
      <pivotArea field="0" grandCol="1" collapsedLevelsAreSubtotals="1" axis="axisCol" fieldPosition="0">
        <references count="1">
          <reference field="4294967294" count="5">
            <x v="2"/>
            <x v="3"/>
            <x v="4"/>
            <x v="5"/>
            <x v="7"/>
          </reference>
        </references>
      </pivotArea>
    </format>
    <format dxfId="55">
      <pivotArea field="0" grandCol="1" collapsedLevelsAreSubtotals="1" axis="axisCol" fieldPosition="0">
        <references count="1">
          <reference field="4294967294" count="5">
            <x v="2"/>
            <x v="3"/>
            <x v="4"/>
            <x v="5"/>
            <x v="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1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49">
      <pivotArea dataOnly="0" outline="0" fieldPosition="0">
        <references count="1">
          <reference field="4294967294" count="1">
            <x v="3"/>
          </reference>
        </references>
      </pivotArea>
    </format>
    <format dxfId="48">
      <pivotArea type="all" dataOnly="0" outline="0" fieldPosition="0"/>
    </format>
    <format dxfId="4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5">
      <pivotArea collapsedLevelsAreSubtotals="1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collapsedLevelsAreSubtotals="1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field="0" grandCol="1" collapsedLevelsAreSubtotals="1" axis="axisCol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">
      <pivotArea grandCol="1" outline="0" collapsedLevelsAreSubtotals="1" fieldPosition="0"/>
    </format>
    <format dxfId="39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38">
      <pivotArea field="0" grandCol="1" collapsedLevelsAreSubtotals="1" axis="axisCol" fieldPosition="0">
        <references count="1">
          <reference field="4294967294" count="1">
            <x v="8"/>
          </reference>
        </references>
      </pivotArea>
    </format>
  </formats>
  <pivotTableStyleInfo name="PivotStyleLight2" showRowHeaders="1" showColHeaders="1" showRowStripes="1" showColStripes="0" showLastColumn="1"/>
</pivotTableDefinition>
</file>

<file path=xl/pivotTables/pivotTable8.xml><?xml version="1.0" encoding="utf-8"?>
<pivotTableDefinition xmlns="http://schemas.openxmlformats.org/spreadsheetml/2006/main" name="PivotTable16" cacheId="0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30:L3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name="Linnade liikuvuskorraldus2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7">
    <dataField name=" EE TJ 2020 kokkuhoid, min" fld="3" baseField="0" baseItem="0"/>
    <dataField name="Raudtee elektrifitseerimine" fld="35" baseField="0" baseItem="0"/>
    <dataField name="Raskeveokite rehvid_" fld="30" baseField="0" baseItem="0"/>
    <dataField name="Raskeveokite aerodünaamika_" fld="31" baseField="0" baseItem="0"/>
    <dataField name="Hübriidvedurid" fld="36" baseField="0" baseItem="0"/>
    <dataField name="Kütusesäästlikud bussid" fld="33" baseField="0" baseItem="0"/>
    <dataField name="Kuni 12t veokite start-stop" fld="32" baseField="0" baseItem="0"/>
  </dataFields>
  <formats count="24">
    <format dxfId="106">
      <pivotArea collapsedLevelsAreSubtotals="1" fieldPosition="0">
        <references count="1">
          <reference field="0" count="0"/>
        </references>
      </pivotArea>
    </format>
    <format dxfId="105">
      <pivotArea grandRow="1" outline="0" collapsedLevelsAreSubtotals="1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collapsedLevelsAreSubtotals="1" fieldPosition="0">
        <references count="1">
          <reference field="4294967294" count="1">
            <x v="0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grandCol="1" outline="0" collapsedLevelsAreSubtotals="1" fieldPosition="0"/>
    </format>
    <format dxfId="97">
      <pivotArea collapsedLevelsAreSubtotals="1" fieldPosition="0">
        <references count="1">
          <reference field="4294967294" count="1">
            <x v="0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type="all" dataOnly="0" outline="0" fieldPosition="0"/>
    </format>
    <format dxfId="94">
      <pivotArea type="all" dataOnly="0" outline="0" fieldPosition="0"/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type="all" dataOnly="0" outline="0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collapsedLevelsAreSubtotals="1" fieldPosition="0">
        <references count="1">
          <reference field="4294967294" count="1">
            <x v="0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collapsedLevelsAreSubtotals="1" fieldPosition="0">
        <references count="1">
          <reference field="4294967294" count="1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field="0" grandCol="1" collapsedLevelsAreSubtotals="1" axis="axisCol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3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pivotTables/pivotTable9.xml><?xml version="1.0" encoding="utf-8"?>
<pivotTableDefinition xmlns="http://schemas.openxmlformats.org/spreadsheetml/2006/main" name="PivotTable17" cacheId="0" dataOnRows="1" applyNumberFormats="0" applyBorderFormats="0" applyFontFormats="0" applyPatternFormats="0" applyAlignmentFormats="0" applyWidthHeightFormats="1" dataCaption="MJ" grandTotalCaption="Kokku, TJ" updatedVersion="3" minRefreshableVersion="3" showCalcMbrs="0" showDrill="0" useAutoFormatting="1" itemPrintTitles="1" createdVersion="3" indent="0" showHeaders="0" outline="1" outlineData="1" multipleFieldFilters="0">
  <location ref="A42:L47" firstHeaderRow="0" firstDataRow="1" firstDataCol="1"/>
  <pivotFields count="37">
    <pivotField axis="axisCol" showAll="0">
      <items count="14">
        <item h="1" x="0"/>
        <item n="Sõiduauto" x="1"/>
        <item n="Kaubik" x="2"/>
        <item n="Veoauto" x="3"/>
        <item n="Buss" x="4"/>
        <item n="Reisi-rong" x="5"/>
        <item n="Kauba-rong" x="6"/>
        <item x="7"/>
        <item x="11"/>
        <item x="12"/>
        <item x="8"/>
        <item h="1" x="9"/>
        <item h="1" x="10"/>
        <item t="default"/>
      </items>
    </pivotField>
    <pivotField showAll="0"/>
    <pivotField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name="Linnade liikuvuskorraldus2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0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5">
    <dataField name=" EE TJ 2020 kokkuhoid, min" fld="3" baseField="0" baseItem="0"/>
    <dataField name="20% ÜT-teenuse lisamine" fld="11" baseField="0" baseItem="0"/>
    <dataField name="Rail Baltic " fld="34" baseField="0" baseItem="0"/>
    <dataField name="Raudtee elektr." fld="35" baseField="0" baseItem="0"/>
    <dataField name="Kergliikluse arend." fld="22" baseField="0" baseItem="0"/>
  </dataFields>
  <formats count="43">
    <format dxfId="1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8">
      <pivotArea collapsedLevelsAreSubtotals="1" fieldPosition="0">
        <references count="1">
          <reference field="0" count="0"/>
        </references>
      </pivotArea>
    </format>
    <format dxfId="147">
      <pivotArea grandRow="1" outline="0" collapsedLevelsAreSubtotals="1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0" grandCol="1" collapsedLevelsAreSubtotals="1" axis="axisCol" fieldPosition="0">
        <references count="1">
          <reference field="4294967294" count="2">
            <x v="1"/>
            <x v="4"/>
          </reference>
        </references>
      </pivotArea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4294967294" count="2">
            <x v="1"/>
            <x v="4"/>
          </reference>
        </references>
      </pivotArea>
    </format>
    <format dxfId="140">
      <pivotArea collapsedLevelsAreSubtotals="1" fieldPosition="0">
        <references count="1">
          <reference field="4294967294" count="1">
            <x v="0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field="0" grandCol="1" collapsedLevelsAreSubtotals="1" axis="axisCol" fieldPosition="0">
        <references count="1">
          <reference field="4294967294" count="1"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36">
      <pivotArea field="0" grandCol="1" collapsedLevelsAreSubtotals="1" axis="axisCol" fieldPosition="0">
        <references count="1">
          <reference field="4294967294" count="1">
            <x v="3"/>
          </reference>
        </references>
      </pivotArea>
    </format>
    <format dxfId="135">
      <pivotArea field="0" grandCol="1" collapsedLevelsAreSubtotals="1" axis="axisCol" fieldPosition="0">
        <references count="1">
          <reference field="4294967294" count="1">
            <x v="3"/>
          </reference>
        </references>
      </pivotArea>
    </format>
    <format dxfId="134">
      <pivotArea grandCol="1" outline="0" collapsedLevelsAreSubtotals="1" fieldPosition="0"/>
    </format>
    <format dxfId="133">
      <pivotArea collapsedLevelsAreSubtotals="1" fieldPosition="0">
        <references count="1">
          <reference field="4294967294" count="1">
            <x v="0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type="all" dataOnly="0" outline="0" fieldPosition="0"/>
    </format>
    <format dxfId="129">
      <pivotArea type="all" dataOnly="0" outline="0" fieldPosition="0"/>
    </format>
    <format dxfId="128">
      <pivotArea collapsedLevelsAreSubtotals="1" fieldPosition="0">
        <references count="2">
          <reference field="4294967294" count="1">
            <x v="3"/>
          </reference>
          <reference field="0" count="3" selected="0">
            <x v="5"/>
            <x v="6"/>
            <x v="7"/>
          </reference>
        </references>
      </pivotArea>
    </format>
    <format dxfId="127">
      <pivotArea field="0" grandCol="1" collapsedLevelsAreSubtotals="1" axis="axisCol" fieldPosition="0">
        <references count="1">
          <reference field="4294967294" count="1">
            <x v="3"/>
          </reference>
        </references>
      </pivotArea>
    </format>
    <format dxfId="126">
      <pivotArea collapsedLevelsAreSubtotals="1" fieldPosition="0">
        <references count="2">
          <reference field="4294967294" count="1">
            <x v="2"/>
          </reference>
          <reference field="0" count="0" selected="0"/>
        </references>
      </pivotArea>
    </format>
    <format dxfId="125">
      <pivotArea collapsedLevelsAreSubtotals="1" fieldPosition="0">
        <references count="2">
          <reference field="4294967294" count="1">
            <x v="2"/>
          </reference>
          <reference field="0" count="0" selected="0"/>
        </references>
      </pivotArea>
    </format>
    <format dxfId="124">
      <pivotArea collapsedLevelsAreSubtotals="1" fieldPosition="0">
        <references count="1">
          <reference field="4294967294" count="1">
            <x v="2"/>
          </reference>
        </references>
      </pivotArea>
    </format>
    <format dxfId="123">
      <pivotArea collapsedLevelsAreSubtotals="1" fieldPosition="0">
        <references count="1">
          <reference field="4294967294" count="1">
            <x v="4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1">
      <pivotArea collapsedLevelsAreSubtotals="1" fieldPosition="0">
        <references count="1">
          <reference field="4294967294" count="2">
            <x v="1"/>
            <x v="4"/>
          </reference>
        </references>
      </pivotArea>
    </format>
    <format dxfId="120">
      <pivotArea collapsedLevelsAreSubtotals="1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9">
      <pivotArea field="0" grandCol="1" collapsedLevelsAreSubtotals="1" axis="axisCol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0" grandCol="1" collapsedLevelsAreSubtotals="1" axis="axisCol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5">
      <pivotArea type="all" dataOnly="0" outline="0" fieldPosition="0"/>
    </format>
    <format dxfId="1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2">
      <pivotArea collapsedLevelsAreSubtotals="1" fieldPosition="0">
        <references count="1">
          <reference field="4294967294" count="1">
            <x v="0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0">
      <pivotArea collapsedLevelsAreSubtotals="1" fieldPosition="0">
        <references count="1">
          <reference field="4294967294" count="1">
            <x v="0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grandCol="1" outline="0" collapsedLevelsAreSubtotals="1" fieldPosition="0"/>
    </format>
    <format dxfId="107">
      <pivotArea grandCol="1" outline="0" collapsedLevelsAreSubtotals="1" fieldPosition="0"/>
    </format>
  </formats>
  <pivotTableStyleInfo name="PivotStyleLight2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3" name="Table3" displayName="Table3" ref="A1:I25" totalsRowShown="0" dataDxfId="10" tableBorderDxfId="9">
  <autoFilter ref="A1:I25"/>
  <sortState ref="A2:I25">
    <sortCondition descending="1" ref="C1:C25"/>
  </sortState>
  <tableColumns count="9">
    <tableColumn id="1" name=" BAU 2020 41000 TJ" dataDxfId="8"/>
    <tableColumn id="2" name="40983" dataDxfId="7"/>
    <tableColumn id="3" name="% 2020 tarbimisest" dataDxfId="6"/>
    <tableColumn id="4" name="Kulud/a" dataDxfId="5"/>
    <tableColumn id="5" name="Sääst" dataDxfId="4"/>
    <tableColumn id="6" name="Aktsiisitulu  muutus" dataDxfId="3"/>
    <tableColumn id="7" name="Maksu-tulu" dataDxfId="2"/>
    <tableColumn id="8" name="Kaudsed positiivsed mõjud" dataDxfId="1"/>
    <tableColumn id="9" name="Kulutõhusus 1000 EUR/TJ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ivotTable" Target="../pivotTables/pivotTable3.xml"/><Relationship Id="rId7" Type="http://schemas.openxmlformats.org/officeDocument/2006/relationships/vmlDrawing" Target="../drawings/vmlDrawing2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8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pivotTable" Target="../pivotTables/pivotTable8.xml"/><Relationship Id="rId7" Type="http://schemas.openxmlformats.org/officeDocument/2006/relationships/vmlDrawing" Target="../drawings/vmlDrawing3.v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AL83"/>
  <sheetViews>
    <sheetView topLeftCell="A2" zoomScaleSheetLayoutView="100" workbookViewId="0">
      <pane xSplit="2" ySplit="3" topLeftCell="M5" activePane="bottomRight" state="frozen"/>
      <selection activeCell="T13" sqref="T13:U13"/>
      <selection pane="topRight" activeCell="T13" sqref="T13:U13"/>
      <selection pane="bottomLeft" activeCell="T13" sqref="T13:U13"/>
      <selection pane="bottomRight" activeCell="E24" sqref="E24:T24"/>
    </sheetView>
  </sheetViews>
  <sheetFormatPr defaultColWidth="8.85546875" defaultRowHeight="15"/>
  <cols>
    <col min="1" max="1" width="1.42578125" style="125" customWidth="1"/>
    <col min="2" max="2" width="27.7109375" style="125" customWidth="1"/>
    <col min="3" max="3" width="7.140625" style="686" customWidth="1"/>
    <col min="4" max="4" width="10" style="184" customWidth="1"/>
    <col min="5" max="9" width="11" style="125" customWidth="1"/>
    <col min="10" max="14" width="11.42578125" style="186" customWidth="1"/>
    <col min="15" max="15" width="10.85546875" style="125" bestFit="1" customWidth="1"/>
    <col min="16" max="19" width="10.85546875" style="125" customWidth="1"/>
    <col min="20" max="20" width="11.28515625" style="186" customWidth="1"/>
    <col min="21" max="21" width="10.85546875" style="125" bestFit="1" customWidth="1"/>
    <col min="22" max="22" width="11.42578125" style="724" bestFit="1" customWidth="1"/>
    <col min="23" max="23" width="10.85546875" style="724" bestFit="1" customWidth="1"/>
    <col min="24" max="24" width="11.7109375" style="724" customWidth="1"/>
    <col min="25" max="25" width="6.7109375" style="125" customWidth="1"/>
    <col min="26" max="16384" width="8.85546875" style="125"/>
  </cols>
  <sheetData>
    <row r="2" spans="1:38">
      <c r="B2" s="466" t="s">
        <v>69</v>
      </c>
      <c r="D2" s="125"/>
      <c r="J2" s="125"/>
      <c r="K2" s="125"/>
      <c r="L2" s="125"/>
      <c r="M2" s="125"/>
      <c r="N2" s="125"/>
      <c r="T2" s="125"/>
    </row>
    <row r="3" spans="1:38" ht="15.75" thickBot="1">
      <c r="B3" s="430"/>
      <c r="C3" s="687"/>
      <c r="D3" s="125"/>
      <c r="J3" s="125"/>
      <c r="K3" s="125"/>
      <c r="L3" s="125"/>
      <c r="M3" s="125"/>
      <c r="N3" s="125"/>
      <c r="T3" s="125"/>
    </row>
    <row r="4" spans="1:38" ht="15.75" thickBot="1">
      <c r="B4" s="461"/>
      <c r="C4" s="688" t="s">
        <v>55</v>
      </c>
      <c r="D4" s="667">
        <v>2010</v>
      </c>
      <c r="E4" s="667">
        <v>2015</v>
      </c>
      <c r="F4" s="667">
        <v>2016</v>
      </c>
      <c r="G4" s="667">
        <v>2017</v>
      </c>
      <c r="H4" s="667">
        <v>2018</v>
      </c>
      <c r="I4" s="667">
        <v>2019</v>
      </c>
      <c r="J4" s="667">
        <v>2020</v>
      </c>
      <c r="K4" s="667">
        <v>2021</v>
      </c>
      <c r="L4" s="667">
        <v>2022</v>
      </c>
      <c r="M4" s="667">
        <v>2023</v>
      </c>
      <c r="N4" s="667">
        <v>2024</v>
      </c>
      <c r="O4" s="667">
        <v>2025</v>
      </c>
      <c r="P4" s="667">
        <v>2026</v>
      </c>
      <c r="Q4" s="667">
        <v>2027</v>
      </c>
      <c r="R4" s="667">
        <v>2028</v>
      </c>
      <c r="S4" s="667">
        <v>2029</v>
      </c>
      <c r="T4" s="667">
        <v>2030</v>
      </c>
      <c r="U4" s="667">
        <v>2035</v>
      </c>
      <c r="V4" s="725">
        <v>2040</v>
      </c>
      <c r="W4" s="725">
        <v>2045</v>
      </c>
      <c r="X4" s="726">
        <v>2050</v>
      </c>
      <c r="Y4" s="670"/>
      <c r="Z4" s="666" t="s">
        <v>55</v>
      </c>
      <c r="AA4" s="667"/>
      <c r="AB4" s="667">
        <v>2010</v>
      </c>
      <c r="AC4" s="667">
        <v>2015</v>
      </c>
      <c r="AD4" s="667">
        <v>2020</v>
      </c>
      <c r="AE4" s="667">
        <v>2025</v>
      </c>
      <c r="AF4" s="667">
        <v>2030</v>
      </c>
      <c r="AG4" s="667">
        <v>2035</v>
      </c>
      <c r="AH4" s="667">
        <v>2040</v>
      </c>
      <c r="AI4" s="667">
        <v>2045</v>
      </c>
      <c r="AJ4" s="671">
        <v>2050</v>
      </c>
      <c r="AK4" s="668"/>
      <c r="AL4" s="669"/>
    </row>
    <row r="5" spans="1:38">
      <c r="A5" s="127"/>
      <c r="B5" s="429" t="s">
        <v>56</v>
      </c>
      <c r="C5" s="689" t="s">
        <v>21</v>
      </c>
      <c r="D5" s="657"/>
      <c r="E5" s="655"/>
      <c r="F5" s="655"/>
      <c r="G5" s="655"/>
      <c r="H5" s="655"/>
      <c r="I5" s="655"/>
      <c r="J5" s="662"/>
      <c r="K5" s="662"/>
      <c r="L5" s="662"/>
      <c r="M5" s="662"/>
      <c r="N5" s="662"/>
      <c r="O5" s="655"/>
      <c r="P5" s="655"/>
      <c r="Q5" s="655"/>
      <c r="R5" s="655"/>
      <c r="S5" s="655"/>
      <c r="T5" s="662"/>
      <c r="U5" s="655"/>
      <c r="V5" s="727"/>
      <c r="W5" s="727"/>
      <c r="X5" s="728"/>
      <c r="Y5" s="663"/>
      <c r="Z5" s="664"/>
      <c r="AA5" s="655"/>
      <c r="AB5" s="655"/>
      <c r="AC5" s="655"/>
      <c r="AD5" s="655"/>
      <c r="AE5" s="655"/>
      <c r="AF5" s="655"/>
      <c r="AG5" s="655"/>
      <c r="AH5" s="655"/>
      <c r="AI5" s="655"/>
      <c r="AJ5" s="665"/>
    </row>
    <row r="6" spans="1:38">
      <c r="A6" s="127"/>
      <c r="B6" s="134" t="s">
        <v>4</v>
      </c>
      <c r="C6" s="690"/>
      <c r="D6" s="156">
        <v>228</v>
      </c>
      <c r="E6" s="155">
        <f>AVERAGE(VS_TAK!D6,VS_TAK!J6)</f>
        <v>209.4813399775885</v>
      </c>
      <c r="F6" s="458">
        <f t="shared" ref="F6:I12" si="0">$E6+($J6-$E6)/5*(F$4-$E$4)</f>
        <v>209.14653437337398</v>
      </c>
      <c r="G6" s="458">
        <f t="shared" si="0"/>
        <v>208.81172876915949</v>
      </c>
      <c r="H6" s="458">
        <f t="shared" si="0"/>
        <v>208.47692316494496</v>
      </c>
      <c r="I6" s="458">
        <f t="shared" si="0"/>
        <v>208.14211756073047</v>
      </c>
      <c r="J6" s="187">
        <f>Transpordi_kytused_maksud2020!C$20</f>
        <v>207.80731195651595</v>
      </c>
      <c r="K6" s="156">
        <f>$J6+($O6-$J6)/5*(K$4-$J$4)</f>
        <v>225.86299252846428</v>
      </c>
      <c r="L6" s="156">
        <f t="shared" ref="L6:N12" si="1">$J6+($O6-$J6)/5*(L$4-$J$4)</f>
        <v>243.9186731004126</v>
      </c>
      <c r="M6" s="156">
        <f t="shared" si="1"/>
        <v>261.97435367236091</v>
      </c>
      <c r="N6" s="156">
        <f t="shared" si="1"/>
        <v>280.03003424430926</v>
      </c>
      <c r="O6" s="155">
        <f>AVERAGE(J6,T6)</f>
        <v>298.08571481625756</v>
      </c>
      <c r="P6" s="458">
        <f t="shared" ref="P6:S12" si="2">$O6+($T6-$O6)/5*(P$4-$O$4)</f>
        <v>316.14139538820586</v>
      </c>
      <c r="Q6" s="458">
        <f t="shared" si="2"/>
        <v>334.19707596015422</v>
      </c>
      <c r="R6" s="458">
        <f t="shared" si="2"/>
        <v>352.25275653210252</v>
      </c>
      <c r="S6" s="458">
        <f t="shared" si="2"/>
        <v>370.30843710405088</v>
      </c>
      <c r="T6" s="187">
        <f>Kytuste_hind_maksud2030!C21</f>
        <v>388.36411767599918</v>
      </c>
      <c r="U6" s="155">
        <f>AVERAGE(T6,V6)</f>
        <v>525.4373583636326</v>
      </c>
      <c r="V6" s="729">
        <f>AVERAGE(T6,X6)</f>
        <v>662.51059905126601</v>
      </c>
      <c r="W6" s="729">
        <f>AVERAGE(U6,X6)</f>
        <v>731.04721939508272</v>
      </c>
      <c r="X6" s="730">
        <f>Kytused2050!C$21</f>
        <v>936.65708042653284</v>
      </c>
      <c r="Y6" s="159"/>
      <c r="Z6" s="160" t="s">
        <v>86</v>
      </c>
      <c r="AA6" s="134" t="s">
        <v>4</v>
      </c>
      <c r="AB6" s="158">
        <f>D6*0.023884</f>
        <v>5.4455520000000002</v>
      </c>
      <c r="AC6" s="158">
        <f>E6*0.023884</f>
        <v>5.0032523240247233</v>
      </c>
      <c r="AD6" s="158">
        <f t="shared" ref="AD6:AD13" si="3">J6*0.023884</f>
        <v>4.9632698387694267</v>
      </c>
      <c r="AE6" s="158">
        <f t="shared" ref="AE6:AE13" si="4">O6*0.023884</f>
        <v>7.1194792126714956</v>
      </c>
      <c r="AF6" s="158">
        <f t="shared" ref="AF6:AJ13" si="5">T6*0.023884</f>
        <v>9.2756885865735637</v>
      </c>
      <c r="AG6" s="158">
        <f t="shared" si="5"/>
        <v>12.549545867157001</v>
      </c>
      <c r="AH6" s="158">
        <f t="shared" si="5"/>
        <v>15.823403147740438</v>
      </c>
      <c r="AI6" s="158">
        <f t="shared" si="5"/>
        <v>17.460331788032153</v>
      </c>
      <c r="AJ6" s="161">
        <f t="shared" si="5"/>
        <v>22.37111770890731</v>
      </c>
    </row>
    <row r="7" spans="1:38">
      <c r="A7" s="127"/>
      <c r="B7" s="134" t="s">
        <v>5</v>
      </c>
      <c r="C7" s="690"/>
      <c r="D7" s="156">
        <v>10501.152590001275</v>
      </c>
      <c r="E7" s="155">
        <f>AVERAGE(D7,J7)</f>
        <v>12866.21833970031</v>
      </c>
      <c r="F7" s="458">
        <f t="shared" si="0"/>
        <v>13339.231489640117</v>
      </c>
      <c r="G7" s="458">
        <f t="shared" si="0"/>
        <v>13812.244639579925</v>
      </c>
      <c r="H7" s="458">
        <f t="shared" si="0"/>
        <v>14285.257789519732</v>
      </c>
      <c r="I7" s="458">
        <f t="shared" si="0"/>
        <v>14758.27093945954</v>
      </c>
      <c r="J7" s="187">
        <f>Transpordi_kytused_maksud2020!D20</f>
        <v>15231.284089399347</v>
      </c>
      <c r="K7" s="156">
        <f t="shared" ref="K7:K12" si="6">$J7+($O7-$J7)/5*(K$4-$J$4)</f>
        <v>15165.434430999861</v>
      </c>
      <c r="L7" s="156">
        <f t="shared" si="1"/>
        <v>15099.584772600376</v>
      </c>
      <c r="M7" s="156">
        <f t="shared" si="1"/>
        <v>15033.735114200888</v>
      </c>
      <c r="N7" s="156">
        <f t="shared" si="1"/>
        <v>14967.885455801403</v>
      </c>
      <c r="O7" s="155">
        <f t="shared" ref="O7:O12" si="7">AVERAGE(J7,T7)</f>
        <v>14902.035797401917</v>
      </c>
      <c r="P7" s="458">
        <f t="shared" si="2"/>
        <v>14836.186139002431</v>
      </c>
      <c r="Q7" s="458">
        <f t="shared" si="2"/>
        <v>14770.336480602946</v>
      </c>
      <c r="R7" s="458">
        <f t="shared" si="2"/>
        <v>14704.48682220346</v>
      </c>
      <c r="S7" s="458">
        <f t="shared" si="2"/>
        <v>14638.637163803975</v>
      </c>
      <c r="T7" s="187">
        <f>Kytuste_hind_maksud2030!D21</f>
        <v>14572.787505404489</v>
      </c>
      <c r="U7" s="155">
        <f t="shared" ref="U7:U12" si="8">AVERAGE(T7,V7)</f>
        <v>13331.782626746219</v>
      </c>
      <c r="V7" s="729">
        <f t="shared" ref="V7:V12" si="9">AVERAGE(T7,X7)</f>
        <v>12090.777748087947</v>
      </c>
      <c r="W7" s="729">
        <f t="shared" ref="W7:W12" si="10">AVERAGE(U7,X7)</f>
        <v>11470.275308758812</v>
      </c>
      <c r="X7" s="730">
        <f>Kytused2050!D$21</f>
        <v>9608.7679907714046</v>
      </c>
      <c r="Y7" s="159"/>
      <c r="Z7" s="160" t="s">
        <v>86</v>
      </c>
      <c r="AA7" s="134" t="s">
        <v>5</v>
      </c>
      <c r="AB7" s="158">
        <f t="shared" ref="AB7:AB13" si="11">D7*0.023884</f>
        <v>250.80952845959044</v>
      </c>
      <c r="AC7" s="158">
        <f t="shared" ref="AC7:AC13" si="12">E7*0.023884</f>
        <v>307.29675882540221</v>
      </c>
      <c r="AD7" s="158">
        <f t="shared" si="3"/>
        <v>363.783989191214</v>
      </c>
      <c r="AE7" s="158">
        <f t="shared" si="4"/>
        <v>355.92022298514735</v>
      </c>
      <c r="AF7" s="158">
        <f t="shared" si="5"/>
        <v>348.0564567790808</v>
      </c>
      <c r="AG7" s="158">
        <f t="shared" si="5"/>
        <v>318.41629625720668</v>
      </c>
      <c r="AH7" s="158">
        <f t="shared" si="5"/>
        <v>288.7761357353325</v>
      </c>
      <c r="AI7" s="158">
        <f t="shared" si="5"/>
        <v>273.95605547439544</v>
      </c>
      <c r="AJ7" s="161">
        <f t="shared" si="5"/>
        <v>229.49581469158423</v>
      </c>
    </row>
    <row r="8" spans="1:38">
      <c r="A8" s="127"/>
      <c r="B8" s="134" t="s">
        <v>480</v>
      </c>
      <c r="C8" s="690"/>
      <c r="D8" s="156">
        <v>19156.987701494523</v>
      </c>
      <c r="E8" s="155">
        <f>AVERAGE(D8,J8)</f>
        <v>20237.515077525866</v>
      </c>
      <c r="F8" s="458">
        <f t="shared" si="0"/>
        <v>20453.620552732136</v>
      </c>
      <c r="G8" s="458">
        <f t="shared" si="0"/>
        <v>20669.726027938406</v>
      </c>
      <c r="H8" s="458">
        <f t="shared" si="0"/>
        <v>20885.831503144673</v>
      </c>
      <c r="I8" s="458">
        <f t="shared" si="0"/>
        <v>21101.936978350943</v>
      </c>
      <c r="J8" s="187">
        <f>Transpordi_kytused_maksud2020!E20</f>
        <v>21318.042453557213</v>
      </c>
      <c r="K8" s="156">
        <f t="shared" si="6"/>
        <v>21897.956577237332</v>
      </c>
      <c r="L8" s="156">
        <f t="shared" si="1"/>
        <v>22477.87070091745</v>
      </c>
      <c r="M8" s="156">
        <f t="shared" si="1"/>
        <v>23057.784824597569</v>
      </c>
      <c r="N8" s="156">
        <f t="shared" si="1"/>
        <v>23637.698948277688</v>
      </c>
      <c r="O8" s="155">
        <f t="shared" si="7"/>
        <v>24217.613071957807</v>
      </c>
      <c r="P8" s="458">
        <f t="shared" si="2"/>
        <v>24797.527195637926</v>
      </c>
      <c r="Q8" s="458">
        <f t="shared" si="2"/>
        <v>25377.441319318044</v>
      </c>
      <c r="R8" s="458">
        <f t="shared" si="2"/>
        <v>25957.355442998163</v>
      </c>
      <c r="S8" s="458">
        <f t="shared" si="2"/>
        <v>26537.269566678282</v>
      </c>
      <c r="T8" s="187">
        <f>Kytuste_hind_maksud2030!E21</f>
        <v>27117.183690358401</v>
      </c>
      <c r="U8" s="155">
        <f t="shared" si="8"/>
        <v>26222.051947456348</v>
      </c>
      <c r="V8" s="729">
        <f t="shared" si="9"/>
        <v>25326.920204554299</v>
      </c>
      <c r="W8" s="729">
        <f t="shared" si="10"/>
        <v>24879.354333103271</v>
      </c>
      <c r="X8" s="730">
        <f>Kytused2050!E$21</f>
        <v>23536.656718750193</v>
      </c>
      <c r="Y8" s="159"/>
      <c r="Z8" s="160" t="s">
        <v>86</v>
      </c>
      <c r="AA8" s="134" t="s">
        <v>6</v>
      </c>
      <c r="AB8" s="158">
        <f t="shared" si="11"/>
        <v>457.5454942624952</v>
      </c>
      <c r="AC8" s="158">
        <f t="shared" si="12"/>
        <v>483.35281011162778</v>
      </c>
      <c r="AD8" s="158">
        <f t="shared" si="3"/>
        <v>509.16012596076047</v>
      </c>
      <c r="AE8" s="158">
        <f t="shared" si="4"/>
        <v>578.41347061064027</v>
      </c>
      <c r="AF8" s="158">
        <f t="shared" si="5"/>
        <v>647.66681526052002</v>
      </c>
      <c r="AG8" s="158">
        <f t="shared" si="5"/>
        <v>626.28748871304742</v>
      </c>
      <c r="AH8" s="158">
        <f t="shared" si="5"/>
        <v>604.90816216557482</v>
      </c>
      <c r="AI8" s="158">
        <f t="shared" si="5"/>
        <v>594.21849889183852</v>
      </c>
      <c r="AJ8" s="161">
        <f t="shared" si="5"/>
        <v>562.14950907062962</v>
      </c>
    </row>
    <row r="9" spans="1:38">
      <c r="A9" s="127"/>
      <c r="B9" s="134" t="s">
        <v>87</v>
      </c>
      <c r="C9" s="690"/>
      <c r="D9" s="156">
        <v>0</v>
      </c>
      <c r="E9" s="155">
        <f>AVERAGE(D9,J9)</f>
        <v>199.60485519164462</v>
      </c>
      <c r="F9" s="458">
        <f t="shared" si="0"/>
        <v>239.52582622997355</v>
      </c>
      <c r="G9" s="458">
        <f t="shared" si="0"/>
        <v>279.44679726830248</v>
      </c>
      <c r="H9" s="458">
        <f t="shared" si="0"/>
        <v>319.36776830663138</v>
      </c>
      <c r="I9" s="458">
        <f t="shared" si="0"/>
        <v>359.28873934496028</v>
      </c>
      <c r="J9" s="187">
        <f>Transpordi_kytused_maksud2020!F20</f>
        <v>399.20971038328923</v>
      </c>
      <c r="K9" s="156">
        <f t="shared" si="6"/>
        <v>512.06613987805531</v>
      </c>
      <c r="L9" s="156">
        <f t="shared" si="1"/>
        <v>624.92256937282139</v>
      </c>
      <c r="M9" s="156">
        <f t="shared" si="1"/>
        <v>737.77899886758746</v>
      </c>
      <c r="N9" s="156">
        <f t="shared" si="1"/>
        <v>850.63542836235354</v>
      </c>
      <c r="O9" s="155">
        <f t="shared" si="7"/>
        <v>963.49185785711961</v>
      </c>
      <c r="P9" s="458">
        <f t="shared" si="2"/>
        <v>1076.3482873518858</v>
      </c>
      <c r="Q9" s="458">
        <f t="shared" si="2"/>
        <v>1189.2047168466518</v>
      </c>
      <c r="R9" s="458">
        <f t="shared" si="2"/>
        <v>1302.061146341418</v>
      </c>
      <c r="S9" s="458">
        <f t="shared" si="2"/>
        <v>1414.9175758361839</v>
      </c>
      <c r="T9" s="187">
        <f>Kytuste_hind_maksud2030!F21</f>
        <v>1527.7740053309501</v>
      </c>
      <c r="U9" s="155">
        <f t="shared" si="8"/>
        <v>1610.8583722906606</v>
      </c>
      <c r="V9" s="729">
        <f t="shared" si="9"/>
        <v>1693.9427392503712</v>
      </c>
      <c r="W9" s="729">
        <f t="shared" si="10"/>
        <v>1735.4849227302266</v>
      </c>
      <c r="X9" s="730">
        <f>Kytused2050!F$21</f>
        <v>1860.1114731697926</v>
      </c>
      <c r="Y9" s="159"/>
      <c r="Z9" s="160" t="s">
        <v>86</v>
      </c>
      <c r="AA9" s="134" t="s">
        <v>87</v>
      </c>
      <c r="AB9" s="158">
        <f t="shared" si="11"/>
        <v>0</v>
      </c>
      <c r="AC9" s="158">
        <f t="shared" si="12"/>
        <v>4.7673623613972396</v>
      </c>
      <c r="AD9" s="158">
        <f t="shared" si="3"/>
        <v>9.5347247227944791</v>
      </c>
      <c r="AE9" s="158">
        <f t="shared" si="4"/>
        <v>23.012039533059443</v>
      </c>
      <c r="AF9" s="158">
        <f t="shared" si="5"/>
        <v>36.489354343324408</v>
      </c>
      <c r="AG9" s="158">
        <f t="shared" si="5"/>
        <v>38.473741363790133</v>
      </c>
      <c r="AH9" s="158">
        <f t="shared" si="5"/>
        <v>40.458128384255865</v>
      </c>
      <c r="AI9" s="158">
        <f t="shared" si="5"/>
        <v>41.450321894488731</v>
      </c>
      <c r="AJ9" s="161">
        <f t="shared" si="5"/>
        <v>44.426902425187322</v>
      </c>
    </row>
    <row r="10" spans="1:38">
      <c r="A10" s="127"/>
      <c r="B10" s="134" t="s">
        <v>8</v>
      </c>
      <c r="C10" s="690"/>
      <c r="D10" s="156">
        <v>0</v>
      </c>
      <c r="E10" s="155">
        <f>AVERAGE(D10,J10)</f>
        <v>576.9425791439146</v>
      </c>
      <c r="F10" s="458">
        <f t="shared" si="0"/>
        <v>692.33109497269754</v>
      </c>
      <c r="G10" s="458">
        <f t="shared" si="0"/>
        <v>807.71961080148048</v>
      </c>
      <c r="H10" s="458">
        <f t="shared" si="0"/>
        <v>923.10812663026331</v>
      </c>
      <c r="I10" s="458">
        <f t="shared" si="0"/>
        <v>1038.4966424590461</v>
      </c>
      <c r="J10" s="187">
        <f>Transpordi_kytused_maksud2020!G20</f>
        <v>1153.8851582878292</v>
      </c>
      <c r="K10" s="156">
        <f t="shared" si="6"/>
        <v>1159.936538337417</v>
      </c>
      <c r="L10" s="156">
        <f t="shared" si="1"/>
        <v>1165.9879183870048</v>
      </c>
      <c r="M10" s="156">
        <f t="shared" si="1"/>
        <v>1172.0392984365926</v>
      </c>
      <c r="N10" s="156">
        <f t="shared" si="1"/>
        <v>1178.0906784861804</v>
      </c>
      <c r="O10" s="155">
        <f t="shared" si="7"/>
        <v>1184.1420585357682</v>
      </c>
      <c r="P10" s="458">
        <f t="shared" si="2"/>
        <v>1190.193438585356</v>
      </c>
      <c r="Q10" s="458">
        <f t="shared" si="2"/>
        <v>1196.2448186349438</v>
      </c>
      <c r="R10" s="458">
        <f t="shared" si="2"/>
        <v>1202.2961986845319</v>
      </c>
      <c r="S10" s="458">
        <f t="shared" si="2"/>
        <v>1208.3475787341197</v>
      </c>
      <c r="T10" s="187">
        <f>Kytuste_hind_maksud2030!G21</f>
        <v>1214.3989587837075</v>
      </c>
      <c r="U10" s="155">
        <f t="shared" si="8"/>
        <v>1155.9208515054186</v>
      </c>
      <c r="V10" s="729">
        <f t="shared" si="9"/>
        <v>1097.4427442271297</v>
      </c>
      <c r="W10" s="729">
        <f t="shared" si="10"/>
        <v>1068.2036905879852</v>
      </c>
      <c r="X10" s="730">
        <f>Kytused2050!G$21</f>
        <v>980.48652967055182</v>
      </c>
      <c r="Y10" s="159"/>
      <c r="Z10" s="160" t="s">
        <v>86</v>
      </c>
      <c r="AA10" s="134" t="s">
        <v>8</v>
      </c>
      <c r="AB10" s="158">
        <f t="shared" si="11"/>
        <v>0</v>
      </c>
      <c r="AC10" s="158">
        <f t="shared" si="12"/>
        <v>13.779696560273255</v>
      </c>
      <c r="AD10" s="158">
        <f t="shared" si="3"/>
        <v>27.55939312054651</v>
      </c>
      <c r="AE10" s="158">
        <f t="shared" si="4"/>
        <v>28.282048926068288</v>
      </c>
      <c r="AF10" s="158">
        <f t="shared" si="5"/>
        <v>29.004704731590067</v>
      </c>
      <c r="AG10" s="158">
        <f t="shared" si="5"/>
        <v>27.608013617355414</v>
      </c>
      <c r="AH10" s="158">
        <f t="shared" si="5"/>
        <v>26.211322503120762</v>
      </c>
      <c r="AI10" s="158">
        <f t="shared" si="5"/>
        <v>25.512976946003437</v>
      </c>
      <c r="AJ10" s="161">
        <f t="shared" si="5"/>
        <v>23.417940274651457</v>
      </c>
    </row>
    <row r="11" spans="1:38">
      <c r="B11" s="134" t="s">
        <v>9</v>
      </c>
      <c r="C11" s="690"/>
      <c r="D11" s="156">
        <v>0</v>
      </c>
      <c r="E11" s="155">
        <f>AVERAGE(D11,J11)</f>
        <v>1165.9714951902856</v>
      </c>
      <c r="F11" s="458">
        <f t="shared" si="0"/>
        <v>1399.1657942283427</v>
      </c>
      <c r="G11" s="458">
        <f t="shared" si="0"/>
        <v>1632.3600932663999</v>
      </c>
      <c r="H11" s="458">
        <f t="shared" si="0"/>
        <v>1865.554392304457</v>
      </c>
      <c r="I11" s="458">
        <f t="shared" si="0"/>
        <v>2098.7486913425141</v>
      </c>
      <c r="J11" s="187">
        <f>Transpordi_kytused_maksud2020!H20</f>
        <v>2331.9429903805712</v>
      </c>
      <c r="K11" s="156">
        <f t="shared" si="6"/>
        <v>2403.2328899696467</v>
      </c>
      <c r="L11" s="156">
        <f t="shared" si="1"/>
        <v>2474.5227895587223</v>
      </c>
      <c r="M11" s="156">
        <f t="shared" si="1"/>
        <v>2545.8126891477978</v>
      </c>
      <c r="N11" s="156">
        <f t="shared" si="1"/>
        <v>2617.1025887368733</v>
      </c>
      <c r="O11" s="155">
        <f t="shared" si="7"/>
        <v>2688.3924883259488</v>
      </c>
      <c r="P11" s="458">
        <f t="shared" si="2"/>
        <v>2759.6823879150243</v>
      </c>
      <c r="Q11" s="458">
        <f t="shared" si="2"/>
        <v>2830.9722875040998</v>
      </c>
      <c r="R11" s="458">
        <f t="shared" si="2"/>
        <v>2902.2621870931748</v>
      </c>
      <c r="S11" s="458">
        <f t="shared" si="2"/>
        <v>2973.5520866822503</v>
      </c>
      <c r="T11" s="187">
        <f>Kytuste_hind_maksud2030!H21</f>
        <v>3044.8419862713258</v>
      </c>
      <c r="U11" s="155">
        <f t="shared" si="8"/>
        <v>2824.7180965111138</v>
      </c>
      <c r="V11" s="729">
        <f t="shared" si="9"/>
        <v>2604.5942067509013</v>
      </c>
      <c r="W11" s="729">
        <f t="shared" si="10"/>
        <v>2494.5322618707955</v>
      </c>
      <c r="X11" s="730">
        <f>Kytused2050!H$21</f>
        <v>2164.3464272304773</v>
      </c>
      <c r="Y11" s="159"/>
      <c r="Z11" s="160" t="s">
        <v>86</v>
      </c>
      <c r="AA11" s="134" t="s">
        <v>9</v>
      </c>
      <c r="AB11" s="158">
        <f t="shared" si="11"/>
        <v>0</v>
      </c>
      <c r="AC11" s="158">
        <f t="shared" si="12"/>
        <v>27.84806319112478</v>
      </c>
      <c r="AD11" s="158">
        <f t="shared" si="3"/>
        <v>55.69612638224956</v>
      </c>
      <c r="AE11" s="158">
        <f t="shared" si="4"/>
        <v>64.209566191176961</v>
      </c>
      <c r="AF11" s="158">
        <f t="shared" si="5"/>
        <v>72.723006000104348</v>
      </c>
      <c r="AG11" s="158">
        <f t="shared" si="5"/>
        <v>67.465567017071436</v>
      </c>
      <c r="AH11" s="158">
        <f t="shared" si="5"/>
        <v>62.208128034038523</v>
      </c>
      <c r="AI11" s="158">
        <f t="shared" si="5"/>
        <v>59.579408542522081</v>
      </c>
      <c r="AJ11" s="161">
        <f t="shared" si="5"/>
        <v>51.69325006797272</v>
      </c>
    </row>
    <row r="12" spans="1:38">
      <c r="B12" s="134" t="s">
        <v>10</v>
      </c>
      <c r="C12" s="690"/>
      <c r="D12" s="156">
        <v>0</v>
      </c>
      <c r="E12" s="155">
        <v>0</v>
      </c>
      <c r="F12" s="458">
        <f t="shared" si="0"/>
        <v>0</v>
      </c>
      <c r="G12" s="458">
        <f t="shared" si="0"/>
        <v>0</v>
      </c>
      <c r="H12" s="458">
        <f t="shared" si="0"/>
        <v>0</v>
      </c>
      <c r="I12" s="458">
        <f t="shared" si="0"/>
        <v>0</v>
      </c>
      <c r="J12" s="187">
        <f>Transpordi_kytused_maksud2020!I20</f>
        <v>0</v>
      </c>
      <c r="K12" s="156">
        <f t="shared" si="6"/>
        <v>0</v>
      </c>
      <c r="L12" s="156">
        <f t="shared" si="1"/>
        <v>0</v>
      </c>
      <c r="M12" s="156">
        <f t="shared" si="1"/>
        <v>0</v>
      </c>
      <c r="N12" s="156">
        <f t="shared" si="1"/>
        <v>0</v>
      </c>
      <c r="O12" s="155">
        <f t="shared" si="7"/>
        <v>0</v>
      </c>
      <c r="P12" s="458">
        <f t="shared" si="2"/>
        <v>0</v>
      </c>
      <c r="Q12" s="458">
        <f t="shared" si="2"/>
        <v>0</v>
      </c>
      <c r="R12" s="458">
        <f t="shared" si="2"/>
        <v>0</v>
      </c>
      <c r="S12" s="458">
        <f t="shared" si="2"/>
        <v>0</v>
      </c>
      <c r="T12" s="187">
        <f>Kytuste_hind_maksud2030!I21</f>
        <v>0</v>
      </c>
      <c r="U12" s="155">
        <f t="shared" si="8"/>
        <v>0</v>
      </c>
      <c r="V12" s="729">
        <f t="shared" si="9"/>
        <v>0</v>
      </c>
      <c r="W12" s="729">
        <f t="shared" si="10"/>
        <v>0</v>
      </c>
      <c r="X12" s="730">
        <f>Kytused2050!I$21</f>
        <v>0</v>
      </c>
      <c r="Y12" s="159"/>
      <c r="Z12" s="160" t="s">
        <v>86</v>
      </c>
      <c r="AA12" s="134" t="s">
        <v>10</v>
      </c>
      <c r="AB12" s="158">
        <f t="shared" si="11"/>
        <v>0</v>
      </c>
      <c r="AC12" s="158">
        <f t="shared" si="12"/>
        <v>0</v>
      </c>
      <c r="AD12" s="158">
        <f t="shared" si="3"/>
        <v>0</v>
      </c>
      <c r="AE12" s="158">
        <f t="shared" si="4"/>
        <v>0</v>
      </c>
      <c r="AF12" s="158">
        <f t="shared" si="5"/>
        <v>0</v>
      </c>
      <c r="AG12" s="158">
        <f t="shared" si="5"/>
        <v>0</v>
      </c>
      <c r="AH12" s="158">
        <f t="shared" si="5"/>
        <v>0</v>
      </c>
      <c r="AI12" s="158">
        <f t="shared" si="5"/>
        <v>0</v>
      </c>
      <c r="AJ12" s="161">
        <f t="shared" si="5"/>
        <v>0</v>
      </c>
    </row>
    <row r="13" spans="1:38" s="186" customFormat="1">
      <c r="B13" s="437" t="s">
        <v>19</v>
      </c>
      <c r="C13" s="708"/>
      <c r="D13" s="439">
        <f t="shared" ref="D13:M13" si="13">SUM(D6:D12)</f>
        <v>29886.140291495798</v>
      </c>
      <c r="E13" s="439">
        <f t="shared" si="13"/>
        <v>35255.733686729611</v>
      </c>
      <c r="F13" s="439">
        <f t="shared" si="13"/>
        <v>36333.021292176636</v>
      </c>
      <c r="G13" s="439">
        <f t="shared" si="13"/>
        <v>37410.308897623676</v>
      </c>
      <c r="H13" s="439">
        <f t="shared" si="13"/>
        <v>38487.596503070701</v>
      </c>
      <c r="I13" s="439">
        <f t="shared" si="13"/>
        <v>39564.884108517741</v>
      </c>
      <c r="J13" s="439">
        <f t="shared" si="13"/>
        <v>40642.171713964759</v>
      </c>
      <c r="K13" s="439">
        <f t="shared" si="13"/>
        <v>41364.489568950776</v>
      </c>
      <c r="L13" s="439">
        <f t="shared" si="13"/>
        <v>42086.807423936792</v>
      </c>
      <c r="M13" s="439">
        <f t="shared" si="13"/>
        <v>42809.125278922787</v>
      </c>
      <c r="N13" s="439">
        <f t="shared" ref="N13:S13" si="14">SUM(N6:N12)</f>
        <v>43531.443133908804</v>
      </c>
      <c r="O13" s="439">
        <f t="shared" si="14"/>
        <v>44253.760988894821</v>
      </c>
      <c r="P13" s="439">
        <f t="shared" si="14"/>
        <v>44976.07884388083</v>
      </c>
      <c r="Q13" s="439">
        <f t="shared" si="14"/>
        <v>45698.39669886684</v>
      </c>
      <c r="R13" s="439">
        <f t="shared" si="14"/>
        <v>46420.714553852849</v>
      </c>
      <c r="S13" s="439">
        <f t="shared" si="14"/>
        <v>47143.032408838859</v>
      </c>
      <c r="T13" s="439">
        <f>SUM(T6:T12)</f>
        <v>47865.350263824876</v>
      </c>
      <c r="U13" s="439">
        <f>SUM(U6:U12)</f>
        <v>45670.769252873397</v>
      </c>
      <c r="V13" s="731">
        <f>SUM(V6:V12)</f>
        <v>43476.188241921911</v>
      </c>
      <c r="W13" s="731">
        <f>SUM(W6:W12)</f>
        <v>42378.897736446168</v>
      </c>
      <c r="X13" s="732">
        <f>SUM(X6:X12)</f>
        <v>39087.026220018954</v>
      </c>
      <c r="Y13" s="193"/>
      <c r="Z13" s="440" t="s">
        <v>86</v>
      </c>
      <c r="AA13" s="438"/>
      <c r="AB13" s="441">
        <f t="shared" si="11"/>
        <v>713.80057472208557</v>
      </c>
      <c r="AC13" s="441">
        <f t="shared" si="12"/>
        <v>842.04794337384999</v>
      </c>
      <c r="AD13" s="441">
        <f t="shared" si="3"/>
        <v>970.69762921633424</v>
      </c>
      <c r="AE13" s="441">
        <f t="shared" si="4"/>
        <v>1056.9568274587639</v>
      </c>
      <c r="AF13" s="441">
        <f t="shared" si="5"/>
        <v>1143.2160257011933</v>
      </c>
      <c r="AG13" s="441">
        <f t="shared" si="5"/>
        <v>1090.8006528356282</v>
      </c>
      <c r="AH13" s="441">
        <f t="shared" si="5"/>
        <v>1038.3852799700628</v>
      </c>
      <c r="AI13" s="441">
        <f t="shared" si="5"/>
        <v>1012.1775935372802</v>
      </c>
      <c r="AJ13" s="442">
        <f t="shared" si="5"/>
        <v>933.55453423893266</v>
      </c>
    </row>
    <row r="14" spans="1:38" s="184" customFormat="1" ht="15.75" thickBot="1">
      <c r="A14" s="433"/>
      <c r="B14" s="654" t="s">
        <v>67</v>
      </c>
      <c r="C14" s="692" t="s">
        <v>132</v>
      </c>
      <c r="D14" s="652">
        <v>2248000</v>
      </c>
      <c r="E14" s="653">
        <f t="shared" ref="E14:J14" si="15">(SUM(E7:E8)*$AF$14)+(E9*$AG$14)</f>
        <v>2394646.6779310168</v>
      </c>
      <c r="F14" s="653">
        <f t="shared" si="15"/>
        <v>2446498.7933196803</v>
      </c>
      <c r="G14" s="653">
        <f t="shared" si="15"/>
        <v>2498350.9087083447</v>
      </c>
      <c r="H14" s="653">
        <f t="shared" si="15"/>
        <v>2550203.0240970086</v>
      </c>
      <c r="I14" s="653">
        <f t="shared" si="15"/>
        <v>2602055.1394856726</v>
      </c>
      <c r="J14" s="653">
        <f t="shared" si="15"/>
        <v>2653907.2548743365</v>
      </c>
      <c r="K14" s="156">
        <f>$J14+($O14-$J14)/5*(K$4-$J$4)</f>
        <v>2686448.7476182492</v>
      </c>
      <c r="L14" s="156">
        <f>$J14+($O14-$J14)/5*(L$4-$J$4)</f>
        <v>2718990.2403621618</v>
      </c>
      <c r="M14" s="156">
        <f>$J14+($O14-$J14)/5*(M$4-$J$4)</f>
        <v>2751531.7331060749</v>
      </c>
      <c r="N14" s="156">
        <f>$J14+($O14-$J14)/5*(N$4-$J$4)</f>
        <v>2784073.2258499875</v>
      </c>
      <c r="O14" s="652">
        <f>(SUM(O7:O8)*$AF$14)+(O9*$AF$48)</f>
        <v>2816614.7185939001</v>
      </c>
      <c r="P14" s="155">
        <f>$O14+($T14-$O14)/5*(P$4-$O$4)</f>
        <v>2870738.4289538125</v>
      </c>
      <c r="Q14" s="155">
        <f>$O14+($T14-$O14)/5*(Q$4-$O$4)</f>
        <v>2924862.1393137244</v>
      </c>
      <c r="R14" s="155">
        <f>$O14+($T14-$O14)/5*(R$4-$O$4)</f>
        <v>2978985.8496736367</v>
      </c>
      <c r="S14" s="155">
        <f>$O14+($T14-$O14)/5*(S$4-$O$4)</f>
        <v>3033109.5600335486</v>
      </c>
      <c r="T14" s="653">
        <f>(SUM(T7:T8)*$AF$14)+(T9*$AG$14)</f>
        <v>3087233.270393461</v>
      </c>
      <c r="U14" s="652">
        <f>AVERAGE(T14,V14)</f>
        <v>2938084.1581908613</v>
      </c>
      <c r="V14" s="733">
        <f>AVERAGE(T14,X14)</f>
        <v>2788935.0459882622</v>
      </c>
      <c r="W14" s="733">
        <f>AVERAGE(U14,X14)</f>
        <v>2714360.4898869623</v>
      </c>
      <c r="X14" s="733">
        <f>(SUM(X7:X8)*$AF$14)+(X9*$AG$14)</f>
        <v>2490636.8215830633</v>
      </c>
      <c r="Y14" s="434"/>
      <c r="Z14" s="931" t="s">
        <v>426</v>
      </c>
      <c r="AE14" s="435" t="s">
        <v>72</v>
      </c>
      <c r="AF14" s="436">
        <v>72</v>
      </c>
      <c r="AG14" s="184">
        <v>56</v>
      </c>
    </row>
    <row r="15" spans="1:38" s="453" customFormat="1" ht="15.75" thickBot="1">
      <c r="A15" s="448"/>
      <c r="B15" s="449" t="s">
        <v>70</v>
      </c>
      <c r="C15" s="693">
        <v>1000</v>
      </c>
      <c r="D15" s="661">
        <v>2010</v>
      </c>
      <c r="E15" s="661">
        <v>2015</v>
      </c>
      <c r="F15" s="661">
        <v>2016</v>
      </c>
      <c r="G15" s="661">
        <v>2017</v>
      </c>
      <c r="H15" s="661">
        <v>2018</v>
      </c>
      <c r="I15" s="661">
        <v>2019</v>
      </c>
      <c r="J15" s="661">
        <v>2020</v>
      </c>
      <c r="K15" s="661"/>
      <c r="L15" s="661"/>
      <c r="M15" s="661"/>
      <c r="N15" s="661"/>
      <c r="O15" s="661">
        <v>2025</v>
      </c>
      <c r="P15" s="661"/>
      <c r="Q15" s="661"/>
      <c r="R15" s="661"/>
      <c r="S15" s="661"/>
      <c r="T15" s="661">
        <v>2030</v>
      </c>
      <c r="U15" s="661">
        <v>2035</v>
      </c>
      <c r="V15" s="734">
        <v>2040</v>
      </c>
      <c r="W15" s="734">
        <v>2045</v>
      </c>
      <c r="X15" s="734">
        <v>2050</v>
      </c>
      <c r="Y15" s="450"/>
      <c r="Z15" s="451"/>
      <c r="AA15" s="451"/>
      <c r="AB15" s="452"/>
      <c r="AE15" s="452"/>
    </row>
    <row r="16" spans="1:38" s="184" customFormat="1">
      <c r="A16" s="433"/>
      <c r="B16" s="656" t="s">
        <v>88</v>
      </c>
      <c r="C16" s="694"/>
      <c r="D16" s="657"/>
      <c r="E16" s="657"/>
      <c r="F16" s="657"/>
      <c r="G16" s="657"/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  <c r="T16" s="657"/>
      <c r="U16" s="657"/>
      <c r="V16" s="735"/>
      <c r="W16" s="735"/>
      <c r="X16" s="735"/>
      <c r="Y16" s="65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</row>
    <row r="17" spans="1:37">
      <c r="A17" s="127"/>
      <c r="B17" s="134" t="s">
        <v>4</v>
      </c>
      <c r="C17" s="690"/>
      <c r="D17" s="156">
        <v>5356.6697057196725</v>
      </c>
      <c r="E17" s="155">
        <f>AVERAGE(VS_TAK!D17,VS_TAK!J17)</f>
        <v>6094.4376962663819</v>
      </c>
      <c r="F17" s="458">
        <f t="shared" ref="F17:I23" si="16">$E17+($J17-$E17)/5*(F$4-$E$4)</f>
        <v>6362.5237361898362</v>
      </c>
      <c r="G17" s="458">
        <f t="shared" si="16"/>
        <v>6630.6097761132905</v>
      </c>
      <c r="H17" s="458">
        <f t="shared" si="16"/>
        <v>6898.6958160367449</v>
      </c>
      <c r="I17" s="458">
        <f t="shared" si="16"/>
        <v>7166.7818559602001</v>
      </c>
      <c r="J17" s="187">
        <f>Transpordi_kytused_maksud2020!M20</f>
        <v>7434.8678958836545</v>
      </c>
      <c r="K17" s="156">
        <f>$J17+($O17-$J17)/5*(K$4-$J$4)</f>
        <v>8047.2025706465074</v>
      </c>
      <c r="L17" s="156">
        <f t="shared" ref="L17:N29" si="17">$J17+($O17-$J17)/5*(L$4-$J$4)</f>
        <v>8659.5372454093595</v>
      </c>
      <c r="M17" s="156">
        <f t="shared" si="17"/>
        <v>9271.8719201722124</v>
      </c>
      <c r="N17" s="156">
        <f t="shared" si="17"/>
        <v>9884.2065949350654</v>
      </c>
      <c r="O17" s="155">
        <f t="shared" ref="O17:O28" si="18">AVERAGE(J17,T17)</f>
        <v>10496.541269697918</v>
      </c>
      <c r="P17" s="155">
        <f t="shared" ref="P17:S23" si="19">$O17+($T17-$O17)/5*(P$4-$O$4)</f>
        <v>11108.875944460771</v>
      </c>
      <c r="Q17" s="155">
        <f t="shared" si="19"/>
        <v>11721.210619223624</v>
      </c>
      <c r="R17" s="155">
        <f t="shared" si="19"/>
        <v>12333.545293986477</v>
      </c>
      <c r="S17" s="155">
        <f t="shared" si="19"/>
        <v>12945.87996874933</v>
      </c>
      <c r="T17" s="187">
        <f>Kytuste_hind_maksud2030!$M$21</f>
        <v>13558.214643512183</v>
      </c>
      <c r="U17" s="155">
        <f t="shared" ref="U17:U28" si="20">AVERAGE(T17,V17)</f>
        <v>17844.457532493005</v>
      </c>
      <c r="V17" s="729">
        <f t="shared" ref="V17:V23" si="21">AVERAGE(T17,X17)</f>
        <v>22130.70042147383</v>
      </c>
      <c r="W17" s="729">
        <f t="shared" ref="W17:W23" si="22">AVERAGE(U17,X17)</f>
        <v>24273.821865964241</v>
      </c>
      <c r="X17" s="729">
        <f>Kytused2050!M21</f>
        <v>30703.186199435477</v>
      </c>
      <c r="Y17" s="128"/>
      <c r="Z17" s="128"/>
      <c r="AA17" s="128"/>
      <c r="AB17" s="128" t="s">
        <v>287</v>
      </c>
      <c r="AC17" s="128" t="s">
        <v>286</v>
      </c>
      <c r="AD17" s="755">
        <v>0.04</v>
      </c>
      <c r="AE17" s="128"/>
      <c r="AF17" s="128"/>
      <c r="AG17" s="128"/>
      <c r="AH17" s="128"/>
      <c r="AI17" s="128"/>
      <c r="AJ17" s="128"/>
      <c r="AK17" s="128"/>
    </row>
    <row r="18" spans="1:37">
      <c r="A18" s="127"/>
      <c r="B18" s="134" t="s">
        <v>5</v>
      </c>
      <c r="C18" s="690"/>
      <c r="D18" s="156">
        <v>195591.64326990649</v>
      </c>
      <c r="E18" s="155">
        <f>AVERAGE(VS_TAK!D18,VS_TAK!J18)</f>
        <v>217107.65827144211</v>
      </c>
      <c r="F18" s="458">
        <f t="shared" si="16"/>
        <v>232507.04297742262</v>
      </c>
      <c r="G18" s="458">
        <f t="shared" si="16"/>
        <v>247906.42768340313</v>
      </c>
      <c r="H18" s="458">
        <f t="shared" si="16"/>
        <v>263305.81238938367</v>
      </c>
      <c r="I18" s="458">
        <f t="shared" si="16"/>
        <v>278705.19709536416</v>
      </c>
      <c r="J18" s="187">
        <f>Transpordi_kytused_maksud2020!$N$16</f>
        <v>294104.5818013447</v>
      </c>
      <c r="K18" s="156">
        <f t="shared" ref="K18:K23" si="23">$J18+($O18-$J18)/5*(K$4-$J$4)</f>
        <v>294825.21280394698</v>
      </c>
      <c r="L18" s="156">
        <f t="shared" si="17"/>
        <v>295545.84380654927</v>
      </c>
      <c r="M18" s="156">
        <f t="shared" si="17"/>
        <v>296266.47480915149</v>
      </c>
      <c r="N18" s="156">
        <f t="shared" si="17"/>
        <v>296987.10581175378</v>
      </c>
      <c r="O18" s="155">
        <f t="shared" si="18"/>
        <v>297707.73681435606</v>
      </c>
      <c r="P18" s="155">
        <f t="shared" si="19"/>
        <v>298428.36781695834</v>
      </c>
      <c r="Q18" s="155">
        <f t="shared" si="19"/>
        <v>299148.99881956057</v>
      </c>
      <c r="R18" s="155">
        <f t="shared" si="19"/>
        <v>299869.62982216285</v>
      </c>
      <c r="S18" s="155">
        <f t="shared" si="19"/>
        <v>300590.26082476508</v>
      </c>
      <c r="T18" s="187">
        <f>Kytuste_hind_maksud2030!$N$17</f>
        <v>301310.89182736736</v>
      </c>
      <c r="U18" s="155">
        <f t="shared" si="20"/>
        <v>288207.68340170814</v>
      </c>
      <c r="V18" s="729">
        <f t="shared" si="21"/>
        <v>275104.47497604892</v>
      </c>
      <c r="W18" s="729">
        <f t="shared" si="22"/>
        <v>268552.87076321931</v>
      </c>
      <c r="X18" s="729">
        <f>Kytused2050!N17</f>
        <v>248898.05812473054</v>
      </c>
      <c r="Y18" s="128"/>
      <c r="Z18" s="128"/>
      <c r="AA18" s="128"/>
      <c r="AB18" s="128"/>
      <c r="AC18" s="128"/>
      <c r="AD18" s="128">
        <f>AD13*AD17</f>
        <v>38.827905168653373</v>
      </c>
      <c r="AE18" s="128"/>
      <c r="AF18" s="128"/>
      <c r="AG18" s="128"/>
      <c r="AH18" s="128"/>
      <c r="AI18" s="128"/>
      <c r="AJ18" s="128"/>
      <c r="AK18" s="128"/>
    </row>
    <row r="19" spans="1:37">
      <c r="A19" s="127"/>
      <c r="B19" s="134" t="s">
        <v>480</v>
      </c>
      <c r="C19" s="690"/>
      <c r="D19" s="156">
        <v>338969.51081210363</v>
      </c>
      <c r="E19" s="155">
        <f>AVERAGE(VS_TAK!D19,VS_TAK!J19)</f>
        <v>343695.59407712345</v>
      </c>
      <c r="F19" s="458">
        <f t="shared" si="16"/>
        <v>353166.54625865183</v>
      </c>
      <c r="G19" s="458">
        <f t="shared" si="16"/>
        <v>362637.49844018026</v>
      </c>
      <c r="H19" s="458">
        <f t="shared" si="16"/>
        <v>372108.45062170865</v>
      </c>
      <c r="I19" s="458">
        <f t="shared" si="16"/>
        <v>381579.40280323708</v>
      </c>
      <c r="J19" s="187">
        <f>Transpordi_kytused_maksud2020!$O$16</f>
        <v>391050.35498476546</v>
      </c>
      <c r="K19" s="156">
        <f t="shared" si="23"/>
        <v>405209.69892042957</v>
      </c>
      <c r="L19" s="156">
        <f t="shared" si="17"/>
        <v>419369.04285609367</v>
      </c>
      <c r="M19" s="156">
        <f t="shared" si="17"/>
        <v>433528.38679175777</v>
      </c>
      <c r="N19" s="156">
        <f t="shared" si="17"/>
        <v>447687.73072742188</v>
      </c>
      <c r="O19" s="155">
        <f t="shared" si="18"/>
        <v>461847.07466308598</v>
      </c>
      <c r="P19" s="155">
        <f t="shared" si="19"/>
        <v>476006.41859875008</v>
      </c>
      <c r="Q19" s="155">
        <f t="shared" si="19"/>
        <v>490165.76253441419</v>
      </c>
      <c r="R19" s="155">
        <f t="shared" si="19"/>
        <v>504325.10647007835</v>
      </c>
      <c r="S19" s="155">
        <f t="shared" si="19"/>
        <v>518484.45040574245</v>
      </c>
      <c r="T19" s="187">
        <f>Kytuste_hind_maksud2030!$O$17</f>
        <v>532643.79434140655</v>
      </c>
      <c r="U19" s="155">
        <f t="shared" si="20"/>
        <v>544279.54866309627</v>
      </c>
      <c r="V19" s="729">
        <f t="shared" si="21"/>
        <v>555915.30298478599</v>
      </c>
      <c r="W19" s="729">
        <f t="shared" si="22"/>
        <v>561733.18014563085</v>
      </c>
      <c r="X19" s="729">
        <f>Kytused2050!O17</f>
        <v>579186.81162816531</v>
      </c>
      <c r="Y19" s="128"/>
      <c r="Z19" s="128"/>
      <c r="AA19" s="128"/>
      <c r="AB19" s="128"/>
      <c r="AC19" s="128" t="s">
        <v>285</v>
      </c>
      <c r="AD19" s="128">
        <v>30</v>
      </c>
      <c r="AE19" s="128"/>
      <c r="AF19" s="128"/>
      <c r="AG19" s="128"/>
      <c r="AH19" s="128"/>
      <c r="AI19" s="128"/>
      <c r="AJ19" s="128"/>
      <c r="AK19" s="128"/>
    </row>
    <row r="20" spans="1:37">
      <c r="A20" s="127"/>
      <c r="B20" s="134" t="s">
        <v>68</v>
      </c>
      <c r="C20" s="690"/>
      <c r="D20" s="156">
        <v>0</v>
      </c>
      <c r="E20" s="155">
        <f>AVERAGE(VS_TAK!D20,VS_TAK!J20)</f>
        <v>5972.1236893675341</v>
      </c>
      <c r="F20" s="162">
        <f t="shared" si="16"/>
        <v>6183.387994778529</v>
      </c>
      <c r="G20" s="162">
        <f t="shared" si="16"/>
        <v>6394.6523001895248</v>
      </c>
      <c r="H20" s="162">
        <f t="shared" si="16"/>
        <v>6605.9166056005197</v>
      </c>
      <c r="I20" s="162">
        <f t="shared" si="16"/>
        <v>6817.1809110115155</v>
      </c>
      <c r="J20" s="187">
        <f>Transpordi_kytused_maksud2020!$P$16</f>
        <v>7028.4452164225104</v>
      </c>
      <c r="K20" s="156">
        <f t="shared" si="23"/>
        <v>9105.7968212505893</v>
      </c>
      <c r="L20" s="156">
        <f t="shared" si="17"/>
        <v>11183.148426078667</v>
      </c>
      <c r="M20" s="156">
        <f t="shared" si="17"/>
        <v>13260.500030906747</v>
      </c>
      <c r="N20" s="156">
        <f t="shared" si="17"/>
        <v>15337.851635734824</v>
      </c>
      <c r="O20" s="162">
        <f t="shared" si="18"/>
        <v>17415.203240562903</v>
      </c>
      <c r="P20" s="162">
        <f t="shared" si="19"/>
        <v>19492.554845390983</v>
      </c>
      <c r="Q20" s="162">
        <f t="shared" si="19"/>
        <v>21569.906450219059</v>
      </c>
      <c r="R20" s="162">
        <f t="shared" si="19"/>
        <v>23647.258055047139</v>
      </c>
      <c r="S20" s="162">
        <f t="shared" si="19"/>
        <v>25724.609659875219</v>
      </c>
      <c r="T20" s="187">
        <f>Kytuste_hind_maksud2030!$P$17</f>
        <v>27801.961264703299</v>
      </c>
      <c r="U20" s="155">
        <f t="shared" si="20"/>
        <v>30455.047424243243</v>
      </c>
      <c r="V20" s="729">
        <f t="shared" si="21"/>
        <v>33108.133583783187</v>
      </c>
      <c r="W20" s="729">
        <f t="shared" si="22"/>
        <v>34434.67666355316</v>
      </c>
      <c r="X20" s="729">
        <f>Kytused2050!P17</f>
        <v>38414.305902863081</v>
      </c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</row>
    <row r="21" spans="1:37">
      <c r="A21" s="127"/>
      <c r="B21" s="134" t="s">
        <v>8</v>
      </c>
      <c r="C21" s="690"/>
      <c r="D21" s="156">
        <v>0</v>
      </c>
      <c r="E21" s="155">
        <f>AVERAGE(VS_TAK!D21,VS_TAK!J21)</f>
        <v>12889.595659473171</v>
      </c>
      <c r="F21" s="162">
        <f t="shared" si="16"/>
        <v>15366.464189131737</v>
      </c>
      <c r="G21" s="162">
        <f t="shared" si="16"/>
        <v>17843.332718790301</v>
      </c>
      <c r="H21" s="162">
        <f t="shared" si="16"/>
        <v>20320.201248448866</v>
      </c>
      <c r="I21" s="162">
        <f t="shared" si="16"/>
        <v>22797.069778107434</v>
      </c>
      <c r="J21" s="187">
        <f>Transpordi_kytused_maksud2020!$Q$16</f>
        <v>25273.938307765999</v>
      </c>
      <c r="K21" s="156">
        <f t="shared" si="23"/>
        <v>25594.798023175677</v>
      </c>
      <c r="L21" s="156">
        <f t="shared" si="17"/>
        <v>25915.657738585356</v>
      </c>
      <c r="M21" s="156">
        <f t="shared" si="17"/>
        <v>26236.517453995031</v>
      </c>
      <c r="N21" s="156">
        <f t="shared" si="17"/>
        <v>26557.37716940471</v>
      </c>
      <c r="O21" s="162">
        <f t="shared" si="18"/>
        <v>26878.236884814389</v>
      </c>
      <c r="P21" s="162">
        <f t="shared" si="19"/>
        <v>27199.096600224068</v>
      </c>
      <c r="Q21" s="162">
        <f t="shared" si="19"/>
        <v>27519.956315633743</v>
      </c>
      <c r="R21" s="162">
        <f t="shared" si="19"/>
        <v>27840.816031043421</v>
      </c>
      <c r="S21" s="162">
        <f t="shared" si="19"/>
        <v>28161.675746453097</v>
      </c>
      <c r="T21" s="187">
        <f>Kytuste_hind_maksud2030!$Q$17</f>
        <v>28482.535461862775</v>
      </c>
      <c r="U21" s="155">
        <f t="shared" si="20"/>
        <v>28564.355761505714</v>
      </c>
      <c r="V21" s="729">
        <f t="shared" si="21"/>
        <v>28646.176061148657</v>
      </c>
      <c r="W21" s="729">
        <f t="shared" si="22"/>
        <v>28687.086210970127</v>
      </c>
      <c r="X21" s="729">
        <f>Kytused2050!Q17</f>
        <v>28809.816660434539</v>
      </c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</row>
    <row r="22" spans="1:37">
      <c r="A22" s="127"/>
      <c r="B22" s="754" t="s">
        <v>9</v>
      </c>
      <c r="C22" s="690"/>
      <c r="D22" s="156">
        <v>0</v>
      </c>
      <c r="E22" s="155">
        <f>AVERAGE(VS_TAK!D22,VS_TAK!J22)</f>
        <v>9205.3503361088442</v>
      </c>
      <c r="F22" s="162">
        <f t="shared" si="16"/>
        <v>17875.566782958471</v>
      </c>
      <c r="G22" s="162">
        <f t="shared" si="16"/>
        <v>26545.783229808094</v>
      </c>
      <c r="H22" s="162">
        <f t="shared" si="16"/>
        <v>35215.999676657717</v>
      </c>
      <c r="I22" s="162">
        <f t="shared" si="16"/>
        <v>43886.216123507344</v>
      </c>
      <c r="J22" s="187">
        <f>Transpordi_kytused_maksud2020!$R$16</f>
        <v>52556.43257035697</v>
      </c>
      <c r="K22" s="156">
        <f t="shared" si="23"/>
        <v>54855.908245495062</v>
      </c>
      <c r="L22" s="156">
        <f t="shared" si="17"/>
        <v>57155.383920633154</v>
      </c>
      <c r="M22" s="156">
        <f t="shared" si="17"/>
        <v>59454.859595771239</v>
      </c>
      <c r="N22" s="156">
        <f t="shared" si="17"/>
        <v>61754.335270909331</v>
      </c>
      <c r="O22" s="162">
        <f t="shared" si="18"/>
        <v>64053.810946047422</v>
      </c>
      <c r="P22" s="162">
        <f t="shared" si="19"/>
        <v>66353.286621185514</v>
      </c>
      <c r="Q22" s="162">
        <f t="shared" si="19"/>
        <v>68652.762296323606</v>
      </c>
      <c r="R22" s="162">
        <f t="shared" si="19"/>
        <v>70952.237971461698</v>
      </c>
      <c r="S22" s="162">
        <f t="shared" si="19"/>
        <v>73251.71364659979</v>
      </c>
      <c r="T22" s="187">
        <f>Kytuste_hind_maksud2030!$R$17</f>
        <v>75551.189321737882</v>
      </c>
      <c r="U22" s="155">
        <f t="shared" si="20"/>
        <v>73839.234341694682</v>
      </c>
      <c r="V22" s="729">
        <f t="shared" si="21"/>
        <v>72127.279361651483</v>
      </c>
      <c r="W22" s="729">
        <f t="shared" si="22"/>
        <v>71271.301871629898</v>
      </c>
      <c r="X22" s="729">
        <f>Kytused2050!R17</f>
        <v>68703.369401565098</v>
      </c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</row>
    <row r="23" spans="1:37">
      <c r="A23" s="127"/>
      <c r="B23" s="754" t="s">
        <v>10</v>
      </c>
      <c r="C23" s="690"/>
      <c r="D23" s="156">
        <v>0</v>
      </c>
      <c r="E23" s="162">
        <f>AVERAGE(D23,J23)</f>
        <v>0</v>
      </c>
      <c r="F23" s="162">
        <f t="shared" si="16"/>
        <v>0</v>
      </c>
      <c r="G23" s="162">
        <f t="shared" si="16"/>
        <v>0</v>
      </c>
      <c r="H23" s="162">
        <f t="shared" si="16"/>
        <v>0</v>
      </c>
      <c r="I23" s="162">
        <f t="shared" si="16"/>
        <v>0</v>
      </c>
      <c r="J23" s="187">
        <f>Transpordi_kytused_maksud2020!$S$16</f>
        <v>0</v>
      </c>
      <c r="K23" s="156">
        <f t="shared" si="23"/>
        <v>0</v>
      </c>
      <c r="L23" s="156">
        <f t="shared" si="17"/>
        <v>0</v>
      </c>
      <c r="M23" s="156">
        <f t="shared" si="17"/>
        <v>0</v>
      </c>
      <c r="N23" s="156">
        <f t="shared" si="17"/>
        <v>0</v>
      </c>
      <c r="O23" s="162">
        <f t="shared" si="18"/>
        <v>0</v>
      </c>
      <c r="P23" s="162">
        <f t="shared" si="19"/>
        <v>0</v>
      </c>
      <c r="Q23" s="162">
        <f t="shared" si="19"/>
        <v>0</v>
      </c>
      <c r="R23" s="162">
        <f t="shared" si="19"/>
        <v>0</v>
      </c>
      <c r="S23" s="162">
        <f t="shared" si="19"/>
        <v>0</v>
      </c>
      <c r="T23" s="187">
        <f>Kytuste_hind_maksud2030!$S$17</f>
        <v>0</v>
      </c>
      <c r="U23" s="155">
        <f t="shared" si="20"/>
        <v>0</v>
      </c>
      <c r="V23" s="729">
        <f t="shared" si="21"/>
        <v>0</v>
      </c>
      <c r="W23" s="729">
        <f t="shared" si="22"/>
        <v>0</v>
      </c>
      <c r="X23" s="729">
        <f>Kytused2050!S17</f>
        <v>0</v>
      </c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</row>
    <row r="24" spans="1:37" s="186" customFormat="1">
      <c r="A24" s="194"/>
      <c r="B24" s="192" t="s">
        <v>19</v>
      </c>
      <c r="C24" s="695">
        <v>1000</v>
      </c>
      <c r="D24" s="188">
        <f>SUM(D17:D23)</f>
        <v>539917.82378772972</v>
      </c>
      <c r="E24" s="188">
        <f t="shared" ref="E24:X24" si="24">SUM(E17:E23)</f>
        <v>594964.75972978154</v>
      </c>
      <c r="F24" s="188">
        <f t="shared" si="24"/>
        <v>631461.53193913307</v>
      </c>
      <c r="G24" s="188">
        <f t="shared" si="24"/>
        <v>667958.30414848449</v>
      </c>
      <c r="H24" s="188">
        <f t="shared" si="24"/>
        <v>704455.07635783625</v>
      </c>
      <c r="I24" s="188">
        <f t="shared" si="24"/>
        <v>740951.84856718779</v>
      </c>
      <c r="J24" s="188">
        <f t="shared" si="24"/>
        <v>777448.62077653932</v>
      </c>
      <c r="K24" s="188">
        <f t="shared" si="24"/>
        <v>797638.61738494434</v>
      </c>
      <c r="L24" s="188">
        <f t="shared" si="24"/>
        <v>817828.61399334949</v>
      </c>
      <c r="M24" s="188">
        <f t="shared" si="24"/>
        <v>838018.61060175463</v>
      </c>
      <c r="N24" s="188">
        <f t="shared" si="24"/>
        <v>858208.60721015965</v>
      </c>
      <c r="O24" s="188">
        <f t="shared" si="24"/>
        <v>878398.60381856468</v>
      </c>
      <c r="P24" s="188">
        <f t="shared" si="24"/>
        <v>898588.6004269697</v>
      </c>
      <c r="Q24" s="188">
        <f t="shared" si="24"/>
        <v>918778.59703537473</v>
      </c>
      <c r="R24" s="188">
        <f t="shared" si="24"/>
        <v>938968.59364377998</v>
      </c>
      <c r="S24" s="188">
        <f t="shared" si="24"/>
        <v>959158.59025218512</v>
      </c>
      <c r="T24" s="188">
        <f t="shared" si="24"/>
        <v>979348.58686059003</v>
      </c>
      <c r="U24" s="188">
        <f t="shared" si="24"/>
        <v>983190.32712474116</v>
      </c>
      <c r="V24" s="736">
        <f t="shared" si="24"/>
        <v>987032.06738889206</v>
      </c>
      <c r="W24" s="736">
        <f t="shared" si="24"/>
        <v>988952.93752096756</v>
      </c>
      <c r="X24" s="736">
        <f t="shared" si="24"/>
        <v>994715.54791719397</v>
      </c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</row>
    <row r="25" spans="1:37" s="196" customFormat="1">
      <c r="A25" s="195"/>
      <c r="B25" s="129" t="s">
        <v>555</v>
      </c>
      <c r="C25" s="690"/>
      <c r="D25" s="156">
        <v>328754.11424651969</v>
      </c>
      <c r="E25" s="155">
        <f>AVERAGE(VS_TAK!D25,VS_TAK!J25)</f>
        <v>357868.18092902761</v>
      </c>
      <c r="F25" s="458">
        <f t="shared" ref="F25:I29" si="25">$E25+($J25-$E25)/5*(F$4-$E$4)</f>
        <v>378332.41913812835</v>
      </c>
      <c r="G25" s="458">
        <f t="shared" si="25"/>
        <v>398796.65734722908</v>
      </c>
      <c r="H25" s="458">
        <f t="shared" si="25"/>
        <v>419260.89555632987</v>
      </c>
      <c r="I25" s="458">
        <f t="shared" si="25"/>
        <v>439725.1337654306</v>
      </c>
      <c r="J25" s="187">
        <f>Transpordi_kytused_maksud2020!T17</f>
        <v>460189.37197453133</v>
      </c>
      <c r="K25" s="156">
        <f>$J25+($O25-$J25)/5*(K$4-$J$4)</f>
        <v>468401.81446151523</v>
      </c>
      <c r="L25" s="156">
        <f t="shared" si="17"/>
        <v>476614.25694849913</v>
      </c>
      <c r="M25" s="156">
        <f t="shared" si="17"/>
        <v>484826.69943548308</v>
      </c>
      <c r="N25" s="156">
        <f t="shared" si="17"/>
        <v>493039.14192246698</v>
      </c>
      <c r="O25" s="155">
        <f t="shared" si="18"/>
        <v>501251.58440945088</v>
      </c>
      <c r="P25" s="458">
        <f t="shared" ref="P25:S29" si="26">$O25+($T25-$O25)/5*(P$4-$O$4)</f>
        <v>509464.02689643478</v>
      </c>
      <c r="Q25" s="458">
        <f t="shared" si="26"/>
        <v>517676.46938341868</v>
      </c>
      <c r="R25" s="458">
        <f t="shared" si="26"/>
        <v>525888.91187040263</v>
      </c>
      <c r="S25" s="458">
        <f t="shared" si="26"/>
        <v>534101.35435738647</v>
      </c>
      <c r="T25" s="187">
        <f>Kytuste_hind_maksud2030!T18</f>
        <v>542313.79684437043</v>
      </c>
      <c r="U25" s="155">
        <f t="shared" si="20"/>
        <v>515650.08790064236</v>
      </c>
      <c r="V25" s="729">
        <f>AVERAGE(T25,X25)</f>
        <v>488986.3789569143</v>
      </c>
      <c r="W25" s="729">
        <f>AVERAGE(U25,X25)</f>
        <v>475654.52448505023</v>
      </c>
      <c r="X25" s="729">
        <f>Kytused2050!T18</f>
        <v>435658.96106945816</v>
      </c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</row>
    <row r="26" spans="1:37">
      <c r="B26" s="129" t="s">
        <v>71</v>
      </c>
      <c r="C26" s="690"/>
      <c r="D26" s="156">
        <f>SUM(D24+D25+D27)*0.2*0.5</f>
        <v>92212.805344245047</v>
      </c>
      <c r="E26" s="155">
        <f>AVERAGE(VS_TAK!D26,VS_TAK!J26)</f>
        <v>97218.622900270653</v>
      </c>
      <c r="F26" s="458">
        <f t="shared" si="25"/>
        <v>101836.61860776262</v>
      </c>
      <c r="G26" s="458">
        <f t="shared" si="25"/>
        <v>106454.6143152546</v>
      </c>
      <c r="H26" s="458">
        <f t="shared" si="25"/>
        <v>111072.61002274656</v>
      </c>
      <c r="I26" s="458">
        <f t="shared" si="25"/>
        <v>115690.60573023855</v>
      </c>
      <c r="J26" s="187">
        <f>Transpordi_kytused_maksud2020!T18</f>
        <v>120308.60143773051</v>
      </c>
      <c r="K26" s="156">
        <f>$J26+($O26-$J26)/5*(K$4-$J$4)</f>
        <v>121377.19522546358</v>
      </c>
      <c r="L26" s="156">
        <f t="shared" si="17"/>
        <v>122445.78901319666</v>
      </c>
      <c r="M26" s="156">
        <f t="shared" si="17"/>
        <v>123514.38280092974</v>
      </c>
      <c r="N26" s="156">
        <f t="shared" si="17"/>
        <v>124582.97658866282</v>
      </c>
      <c r="O26" s="155">
        <f t="shared" si="18"/>
        <v>125651.57037639589</v>
      </c>
      <c r="P26" s="458">
        <f t="shared" si="26"/>
        <v>126720.16416412896</v>
      </c>
      <c r="Q26" s="458">
        <f t="shared" si="26"/>
        <v>127788.75795186205</v>
      </c>
      <c r="R26" s="458">
        <f t="shared" si="26"/>
        <v>128857.35173959512</v>
      </c>
      <c r="S26" s="458">
        <f t="shared" si="26"/>
        <v>129925.94552732821</v>
      </c>
      <c r="T26" s="187">
        <f>Kytuste_hind_maksud2030!T19</f>
        <v>130994.53931506128</v>
      </c>
      <c r="U26" s="155">
        <f t="shared" si="20"/>
        <v>128398.44073569885</v>
      </c>
      <c r="V26" s="729">
        <f>AVERAGE(T26,X26)</f>
        <v>125802.34215633641</v>
      </c>
      <c r="W26" s="729">
        <f>AVERAGE(U26,X26)</f>
        <v>124504.29286665519</v>
      </c>
      <c r="X26" s="729">
        <f>Kytused2050!T19</f>
        <v>120610.14499761153</v>
      </c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</row>
    <row r="27" spans="1:37">
      <c r="A27" s="127"/>
      <c r="B27" s="129" t="s">
        <v>58</v>
      </c>
      <c r="C27" s="690"/>
      <c r="D27" s="156">
        <f>SUM(D18:D19)*0.1</f>
        <v>53456.115408201018</v>
      </c>
      <c r="E27" s="155">
        <f>AVERAGE(VS_TAK!D27,VS_TAK!J27)</f>
        <v>60751.233144044272</v>
      </c>
      <c r="F27" s="458">
        <f t="shared" si="25"/>
        <v>64001.261572848533</v>
      </c>
      <c r="G27" s="458">
        <f t="shared" si="25"/>
        <v>67251.2900016528</v>
      </c>
      <c r="H27" s="458">
        <f t="shared" si="25"/>
        <v>70501.31843045706</v>
      </c>
      <c r="I27" s="458">
        <f t="shared" si="25"/>
        <v>73751.346859261321</v>
      </c>
      <c r="J27" s="187">
        <f>Transpordi_kytused_maksud2020!T19</f>
        <v>77001.375288065581</v>
      </c>
      <c r="K27" s="156">
        <f>$J27+($O27-$J27)/5*(K$4-$J$4)</f>
        <v>78959.141481429804</v>
      </c>
      <c r="L27" s="156">
        <f t="shared" si="17"/>
        <v>80916.907674794027</v>
      </c>
      <c r="M27" s="156">
        <f t="shared" si="17"/>
        <v>82874.673868158236</v>
      </c>
      <c r="N27" s="156">
        <f t="shared" si="17"/>
        <v>84832.440061522459</v>
      </c>
      <c r="O27" s="155">
        <f t="shared" si="18"/>
        <v>86790.206254886682</v>
      </c>
      <c r="P27" s="458">
        <f t="shared" si="26"/>
        <v>88747.972448250905</v>
      </c>
      <c r="Q27" s="458">
        <f t="shared" si="26"/>
        <v>90705.738641615128</v>
      </c>
      <c r="R27" s="458">
        <f t="shared" si="26"/>
        <v>92663.504834979336</v>
      </c>
      <c r="S27" s="458">
        <f t="shared" si="26"/>
        <v>94621.271028343559</v>
      </c>
      <c r="T27" s="187">
        <f>Kytuste_hind_maksud2030!T20</f>
        <v>96579.037221707782</v>
      </c>
      <c r="U27" s="155">
        <f t="shared" si="20"/>
        <v>96534.586959224805</v>
      </c>
      <c r="V27" s="729">
        <f>AVERAGE(T27,X27)</f>
        <v>96490.136696741829</v>
      </c>
      <c r="W27" s="729">
        <f>AVERAGE(U27,X27)</f>
        <v>96467.911565500341</v>
      </c>
      <c r="X27" s="729">
        <f>Kytused2050!T20</f>
        <v>96401.236171775876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</row>
    <row r="28" spans="1:37" s="196" customFormat="1">
      <c r="A28" s="195"/>
      <c r="B28" s="129" t="s">
        <v>64</v>
      </c>
      <c r="C28" s="690"/>
      <c r="D28" s="156">
        <v>3500</v>
      </c>
      <c r="E28" s="155">
        <f>AVERAGE(VS_TAK!D28,VS_TAK!J28)</f>
        <v>102300</v>
      </c>
      <c r="F28" s="458">
        <f t="shared" si="25"/>
        <v>82701</v>
      </c>
      <c r="G28" s="458">
        <f t="shared" si="25"/>
        <v>63102</v>
      </c>
      <c r="H28" s="458">
        <f t="shared" si="25"/>
        <v>43503</v>
      </c>
      <c r="I28" s="458">
        <f t="shared" si="25"/>
        <v>23904</v>
      </c>
      <c r="J28" s="187">
        <f>AVERAGE(D28,T28)</f>
        <v>4305</v>
      </c>
      <c r="K28" s="156">
        <f>$J28+($O28-$J28)/5*(K$4-$J$4)</f>
        <v>4385.5</v>
      </c>
      <c r="L28" s="156">
        <f t="shared" si="17"/>
        <v>4466</v>
      </c>
      <c r="M28" s="156">
        <f t="shared" si="17"/>
        <v>4546.5</v>
      </c>
      <c r="N28" s="156">
        <f t="shared" si="17"/>
        <v>4627</v>
      </c>
      <c r="O28" s="155">
        <f t="shared" si="18"/>
        <v>4707.5</v>
      </c>
      <c r="P28" s="458">
        <f t="shared" si="26"/>
        <v>4788</v>
      </c>
      <c r="Q28" s="458">
        <f t="shared" si="26"/>
        <v>4868.5</v>
      </c>
      <c r="R28" s="458">
        <f t="shared" si="26"/>
        <v>4949</v>
      </c>
      <c r="S28" s="458">
        <f t="shared" si="26"/>
        <v>5029.5</v>
      </c>
      <c r="T28" s="187">
        <f>D28*1.46</f>
        <v>5110</v>
      </c>
      <c r="U28" s="155">
        <f t="shared" si="20"/>
        <v>5197.5</v>
      </c>
      <c r="V28" s="729">
        <f>AVERAGE(T28,X28)</f>
        <v>5285</v>
      </c>
      <c r="W28" s="729">
        <f>AVERAGE(U28,X28)</f>
        <v>5328.75</v>
      </c>
      <c r="X28" s="729">
        <f>D28*1.56</f>
        <v>5460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</row>
    <row r="29" spans="1:37" s="198" customFormat="1">
      <c r="A29" s="197"/>
      <c r="B29" s="129" t="s">
        <v>95</v>
      </c>
      <c r="C29" s="690"/>
      <c r="D29" s="156">
        <f>D25+D28</f>
        <v>332254.11424651969</v>
      </c>
      <c r="E29" s="155">
        <f>AVERAGE(VS_TAK!D29,VS_TAK!J29)</f>
        <v>409018.18092902761</v>
      </c>
      <c r="F29" s="458">
        <f t="shared" si="25"/>
        <v>420113.41913812835</v>
      </c>
      <c r="G29" s="458">
        <f t="shared" si="25"/>
        <v>431208.65734722908</v>
      </c>
      <c r="H29" s="458">
        <f t="shared" si="25"/>
        <v>442303.89555632987</v>
      </c>
      <c r="I29" s="458">
        <f t="shared" si="25"/>
        <v>453399.1337654306</v>
      </c>
      <c r="J29" s="187">
        <f t="shared" ref="J29:X29" si="27">J25+J28</f>
        <v>464494.37197453133</v>
      </c>
      <c r="K29" s="156">
        <f>$J29+($O29-$J29)/5*(K$4-$J$4)</f>
        <v>472787.31446151523</v>
      </c>
      <c r="L29" s="156">
        <f t="shared" si="17"/>
        <v>481080.25694849913</v>
      </c>
      <c r="M29" s="156">
        <f t="shared" si="17"/>
        <v>489373.19943548308</v>
      </c>
      <c r="N29" s="156">
        <f t="shared" si="17"/>
        <v>497666.14192246698</v>
      </c>
      <c r="O29" s="155">
        <f t="shared" si="27"/>
        <v>505959.08440945088</v>
      </c>
      <c r="P29" s="458">
        <f t="shared" si="26"/>
        <v>514252.02689643478</v>
      </c>
      <c r="Q29" s="458">
        <f t="shared" si="26"/>
        <v>522544.96938341868</v>
      </c>
      <c r="R29" s="458">
        <f>$O29+($T29-$O29)/5*(R$4-$O$4)</f>
        <v>530837.91187040263</v>
      </c>
      <c r="S29" s="458">
        <f t="shared" si="26"/>
        <v>539130.85435738647</v>
      </c>
      <c r="T29" s="187">
        <f t="shared" si="27"/>
        <v>547423.79684437043</v>
      </c>
      <c r="U29" s="155">
        <f t="shared" si="27"/>
        <v>520847.58790064236</v>
      </c>
      <c r="V29" s="729">
        <f t="shared" si="27"/>
        <v>494271.3789569143</v>
      </c>
      <c r="W29" s="729">
        <f t="shared" si="27"/>
        <v>480983.27448505023</v>
      </c>
      <c r="X29" s="729">
        <f t="shared" si="27"/>
        <v>441118.96106945816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</row>
    <row r="30" spans="1:37" ht="15.75" thickBot="1">
      <c r="A30" s="127"/>
      <c r="B30" s="680"/>
      <c r="C30" s="696"/>
      <c r="D30" s="681">
        <f>SUM(D24:D27)</f>
        <v>1014340.8587866955</v>
      </c>
      <c r="E30" s="681">
        <f>SUM(E24:E27)</f>
        <v>1110802.796703124</v>
      </c>
      <c r="F30" s="681">
        <f t="shared" ref="F30:X30" si="28">SUM(F24:F27)</f>
        <v>1175631.8312578727</v>
      </c>
      <c r="G30" s="681">
        <f t="shared" si="28"/>
        <v>1240460.8658126211</v>
      </c>
      <c r="H30" s="681">
        <f t="shared" si="28"/>
        <v>1305289.9003673696</v>
      </c>
      <c r="I30" s="681">
        <f t="shared" si="28"/>
        <v>1370118.9349221184</v>
      </c>
      <c r="J30" s="681">
        <f t="shared" si="28"/>
        <v>1434947.9694768668</v>
      </c>
      <c r="K30" s="681">
        <f t="shared" si="28"/>
        <v>1466376.7685533529</v>
      </c>
      <c r="L30" s="681">
        <f t="shared" si="28"/>
        <v>1497805.5676298393</v>
      </c>
      <c r="M30" s="681">
        <f t="shared" si="28"/>
        <v>1529234.3667063254</v>
      </c>
      <c r="N30" s="681">
        <f t="shared" si="28"/>
        <v>1560663.1657828118</v>
      </c>
      <c r="O30" s="681">
        <f t="shared" si="28"/>
        <v>1592091.9648592982</v>
      </c>
      <c r="P30" s="681">
        <f t="shared" si="28"/>
        <v>1623520.7639357843</v>
      </c>
      <c r="Q30" s="681">
        <f t="shared" si="28"/>
        <v>1654949.5630122705</v>
      </c>
      <c r="R30" s="681">
        <f t="shared" si="28"/>
        <v>1686378.3620887571</v>
      </c>
      <c r="S30" s="681">
        <f t="shared" si="28"/>
        <v>1717807.1611652435</v>
      </c>
      <c r="T30" s="681">
        <f t="shared" si="28"/>
        <v>1749235.9602417294</v>
      </c>
      <c r="U30" s="681">
        <f t="shared" si="28"/>
        <v>1723773.4427203073</v>
      </c>
      <c r="V30" s="681">
        <f t="shared" si="28"/>
        <v>1698310.9251988847</v>
      </c>
      <c r="W30" s="681">
        <f t="shared" si="28"/>
        <v>1685579.6664381733</v>
      </c>
      <c r="X30" s="681">
        <f t="shared" si="28"/>
        <v>1647385.8901560395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</row>
    <row r="31" spans="1:37" ht="15.75" thickBot="1">
      <c r="B31" s="684"/>
      <c r="C31" s="697"/>
      <c r="D31" s="685">
        <f>BAU!D4</f>
        <v>2010</v>
      </c>
      <c r="E31" s="685">
        <v>2015</v>
      </c>
      <c r="F31" s="685">
        <v>2016</v>
      </c>
      <c r="G31" s="685">
        <v>2017</v>
      </c>
      <c r="H31" s="685">
        <v>2018</v>
      </c>
      <c r="I31" s="685">
        <v>2019</v>
      </c>
      <c r="J31" s="685">
        <v>2020</v>
      </c>
      <c r="K31" s="685">
        <v>2021</v>
      </c>
      <c r="L31" s="685">
        <v>2022</v>
      </c>
      <c r="M31" s="685">
        <v>2023</v>
      </c>
      <c r="N31" s="685">
        <v>2024</v>
      </c>
      <c r="O31" s="685">
        <v>2025</v>
      </c>
      <c r="P31" s="685">
        <v>2026</v>
      </c>
      <c r="Q31" s="685">
        <v>2027</v>
      </c>
      <c r="R31" s="685">
        <v>2028</v>
      </c>
      <c r="S31" s="685">
        <v>2029</v>
      </c>
      <c r="T31" s="685">
        <f>BAU!H4</f>
        <v>2030</v>
      </c>
      <c r="U31" s="685">
        <f>BAU!I4</f>
        <v>2035</v>
      </c>
      <c r="V31" s="737">
        <f>BAU!J4</f>
        <v>2040</v>
      </c>
      <c r="W31" s="737">
        <f>BAU!K4</f>
        <v>2045</v>
      </c>
      <c r="X31" s="738">
        <f>BAU!L4</f>
        <v>2050</v>
      </c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</row>
    <row r="32" spans="1:37">
      <c r="A32" s="127"/>
      <c r="B32" s="682" t="str">
        <f>BAU!B5</f>
        <v>Investeeringud</v>
      </c>
      <c r="C32" s="698">
        <v>1000</v>
      </c>
      <c r="D32" s="682"/>
      <c r="E32" s="683">
        <f>SUM(E33,E37,E40)</f>
        <v>755511.77217046195</v>
      </c>
      <c r="F32" s="683">
        <f t="shared" ref="F32:T32" si="29">SUM(F33,F37,F40)</f>
        <v>752244.06158501073</v>
      </c>
      <c r="G32" s="683">
        <f t="shared" si="29"/>
        <v>748976.35099955951</v>
      </c>
      <c r="H32" s="683">
        <f t="shared" si="29"/>
        <v>745708.64041410841</v>
      </c>
      <c r="I32" s="683">
        <f t="shared" si="29"/>
        <v>742440.9298286573</v>
      </c>
      <c r="J32" s="683">
        <f t="shared" si="29"/>
        <v>739173.21924320608</v>
      </c>
      <c r="K32" s="683">
        <f t="shared" si="29"/>
        <v>746871.0902195191</v>
      </c>
      <c r="L32" s="683">
        <f t="shared" si="29"/>
        <v>754568.96119583223</v>
      </c>
      <c r="M32" s="683">
        <f t="shared" si="29"/>
        <v>762266.83217214525</v>
      </c>
      <c r="N32" s="683">
        <f t="shared" si="29"/>
        <v>769964.70314845827</v>
      </c>
      <c r="O32" s="683">
        <f t="shared" si="29"/>
        <v>803662.5741247714</v>
      </c>
      <c r="P32" s="683">
        <f t="shared" si="29"/>
        <v>806658.53894723835</v>
      </c>
      <c r="Q32" s="683">
        <f t="shared" si="29"/>
        <v>809654.50376970507</v>
      </c>
      <c r="R32" s="683">
        <f t="shared" si="29"/>
        <v>812650.46859217202</v>
      </c>
      <c r="S32" s="683">
        <f t="shared" si="29"/>
        <v>815646.43341463886</v>
      </c>
      <c r="T32" s="683">
        <f t="shared" si="29"/>
        <v>818642.39823710569</v>
      </c>
      <c r="U32" s="683">
        <f>BAU!I5*1000</f>
        <v>843595.91597592842</v>
      </c>
      <c r="V32" s="739">
        <f>BAU!J5*1000</f>
        <v>841761.91320193035</v>
      </c>
      <c r="W32" s="739">
        <f>BAU!K5*1000</f>
        <v>835319.35273562477</v>
      </c>
      <c r="X32" s="739">
        <f>BAU!L5*1000</f>
        <v>838572.2922693193</v>
      </c>
      <c r="Y32" s="128"/>
      <c r="Z32" s="128" t="str">
        <f>BAU!N5</f>
        <v>Investeering on siin tabelis uue infra ehitus või põhjalik rekonstrueerimine</v>
      </c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</row>
    <row r="33" spans="1:37">
      <c r="A33" s="127"/>
      <c r="B33" s="217" t="str">
        <f>BAU!B6</f>
        <v>Maanteed ja tänavad</v>
      </c>
      <c r="C33" s="699"/>
      <c r="D33" s="218"/>
      <c r="E33" s="457">
        <f>SUM(E34:E36)</f>
        <v>99736.849093538825</v>
      </c>
      <c r="F33" s="457">
        <f t="shared" ref="F33:S33" si="30">SUM(F34:F36)</f>
        <v>99800.869277318416</v>
      </c>
      <c r="G33" s="457">
        <f t="shared" si="30"/>
        <v>99864.889461098035</v>
      </c>
      <c r="H33" s="457">
        <f t="shared" si="30"/>
        <v>99928.909644877625</v>
      </c>
      <c r="I33" s="457">
        <f t="shared" si="30"/>
        <v>99992.929828657245</v>
      </c>
      <c r="J33" s="457">
        <f t="shared" si="30"/>
        <v>100056.95001243684</v>
      </c>
      <c r="K33" s="457">
        <f t="shared" si="30"/>
        <v>101538.9956041345</v>
      </c>
      <c r="L33" s="457">
        <f t="shared" si="30"/>
        <v>103021.04119583218</v>
      </c>
      <c r="M33" s="457">
        <f t="shared" si="30"/>
        <v>104503.08678752983</v>
      </c>
      <c r="N33" s="457">
        <f t="shared" si="30"/>
        <v>105985.13237922751</v>
      </c>
      <c r="O33" s="457">
        <f t="shared" si="30"/>
        <v>107467.17797092517</v>
      </c>
      <c r="P33" s="457">
        <f t="shared" si="30"/>
        <v>108949.22356262284</v>
      </c>
      <c r="Q33" s="457">
        <f t="shared" si="30"/>
        <v>110431.26915432049</v>
      </c>
      <c r="R33" s="457">
        <f t="shared" si="30"/>
        <v>111913.31474601815</v>
      </c>
      <c r="S33" s="457">
        <f t="shared" si="30"/>
        <v>113395.36033771581</v>
      </c>
      <c r="T33" s="457">
        <f>BAU!H6*1000</f>
        <v>114877.40592941346</v>
      </c>
      <c r="U33" s="457">
        <f>BAU!I6*1000</f>
        <v>117845.34546310783</v>
      </c>
      <c r="V33" s="740">
        <f>BAU!J6*1000</f>
        <v>120813.28499680219</v>
      </c>
      <c r="W33" s="740">
        <f>BAU!K6*1000</f>
        <v>123781.22453049656</v>
      </c>
      <c r="X33" s="740">
        <f>BAU!L6*1000</f>
        <v>126749.16406419092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</row>
    <row r="34" spans="1:37">
      <c r="A34" s="127"/>
      <c r="B34" s="222" t="str">
        <f>BAU!B7</f>
        <v>Riik KOV teedele</v>
      </c>
      <c r="C34" s="700"/>
      <c r="D34" s="223"/>
      <c r="E34" s="458">
        <f>BAU!E7*1000</f>
        <v>12800</v>
      </c>
      <c r="F34" s="458">
        <f>$E34+($J34-$E34)/5*(F$4-$E$4)</f>
        <v>13160.355733511013</v>
      </c>
      <c r="G34" s="458">
        <f t="shared" ref="G34:I36" si="31">$E34+($J34-$E34)/5*(G$4-$E$4)</f>
        <v>13520.711467022025</v>
      </c>
      <c r="H34" s="458">
        <f t="shared" si="31"/>
        <v>13881.067200533038</v>
      </c>
      <c r="I34" s="458">
        <f t="shared" si="31"/>
        <v>14241.422934044052</v>
      </c>
      <c r="J34" s="458">
        <f>BAU!F7*1000</f>
        <v>14601.778667555065</v>
      </c>
      <c r="K34" s="458">
        <f>$J34+($O34-$J34)/5*(K$4-$J$4)</f>
        <v>14818.060512069665</v>
      </c>
      <c r="L34" s="458">
        <f>$J34+($O34-$J34)/5*(L$4-$J$4)</f>
        <v>15034.342356584266</v>
      </c>
      <c r="M34" s="458">
        <f>$J34+($O34-$J34)/5*(M$4-$J$4)</f>
        <v>15250.624201098864</v>
      </c>
      <c r="N34" s="458">
        <f>$J34+($O34-$J34)/5*(N$4-$J$4)</f>
        <v>15466.906045613465</v>
      </c>
      <c r="O34" s="458">
        <f>BAU!G7*1000</f>
        <v>15683.187890128065</v>
      </c>
      <c r="P34" s="458">
        <f>$O34+($T34-$O34)/5*(P$4-$O$4)</f>
        <v>15899.469734642666</v>
      </c>
      <c r="Q34" s="458">
        <f t="shared" ref="Q34:S38" si="32">$O34+($T34-$O34)/5*(Q$4-$O$4)</f>
        <v>16115.751579157264</v>
      </c>
      <c r="R34" s="458">
        <f t="shared" si="32"/>
        <v>16332.033423671865</v>
      </c>
      <c r="S34" s="458">
        <f t="shared" si="32"/>
        <v>16548.315268186463</v>
      </c>
      <c r="T34" s="458">
        <f>BAU!H7*1000</f>
        <v>16764.597112701063</v>
      </c>
      <c r="U34" s="458">
        <f>BAU!I7*1000</f>
        <v>17197.722409487593</v>
      </c>
      <c r="V34" s="741">
        <f>BAU!J7*1000</f>
        <v>17630.847706274126</v>
      </c>
      <c r="W34" s="741">
        <f>BAU!K7*1000</f>
        <v>18063.973003060655</v>
      </c>
      <c r="X34" s="741">
        <f>BAU!L7*1000</f>
        <v>18497.098299847185</v>
      </c>
      <c r="Y34" s="128"/>
      <c r="Z34" s="128" t="str">
        <f>BAU!N7</f>
        <v>Proportsionaalne sõiduautode läbisõidu kasvuga, investeeringud tingib läbilaskvuse tõstmise vajadus</v>
      </c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</row>
    <row r="35" spans="1:37">
      <c r="A35" s="127"/>
      <c r="B35" s="227" t="str">
        <f>BAU!B8</f>
        <v>Riik maanteedele</v>
      </c>
      <c r="C35" s="700"/>
      <c r="D35" s="223"/>
      <c r="E35" s="458">
        <f>BAU!E8*1000</f>
        <v>70000</v>
      </c>
      <c r="F35" s="458">
        <f>$E35+($J35-$E35)/5*(F$4-$E$4)</f>
        <v>69211.13308016886</v>
      </c>
      <c r="G35" s="458">
        <f t="shared" si="31"/>
        <v>68422.266160337735</v>
      </c>
      <c r="H35" s="458">
        <f t="shared" si="31"/>
        <v>67633.399240506595</v>
      </c>
      <c r="I35" s="458">
        <f t="shared" si="31"/>
        <v>66844.532320675469</v>
      </c>
      <c r="J35" s="458">
        <f>BAU!F8*1000</f>
        <v>66055.665400844329</v>
      </c>
      <c r="K35" s="458">
        <f>$J35+($O35-$J35)/5*(K$4-$J$4)</f>
        <v>67034.083268886563</v>
      </c>
      <c r="L35" s="458">
        <f t="shared" ref="L35:N36" si="33">$J35+($O35-$J35)/5*(L$4-$J$4)</f>
        <v>68012.501136928811</v>
      </c>
      <c r="M35" s="458">
        <f t="shared" si="33"/>
        <v>68990.919004971045</v>
      </c>
      <c r="N35" s="458">
        <f t="shared" si="33"/>
        <v>69969.336873013293</v>
      </c>
      <c r="O35" s="458">
        <f>BAU!G8*1000</f>
        <v>70947.754741055527</v>
      </c>
      <c r="P35" s="458">
        <f>$O35+($T35-$O35)/5*(P$4-$O$4)</f>
        <v>71926.172609097761</v>
      </c>
      <c r="Q35" s="458">
        <f t="shared" si="32"/>
        <v>72904.590477139995</v>
      </c>
      <c r="R35" s="458">
        <f t="shared" si="32"/>
        <v>73883.008345182243</v>
      </c>
      <c r="S35" s="458">
        <f t="shared" si="32"/>
        <v>74861.426213224477</v>
      </c>
      <c r="T35" s="458">
        <f>BAU!H8*1000</f>
        <v>75839.84408126671</v>
      </c>
      <c r="U35" s="458">
        <f>BAU!I8*1000</f>
        <v>77799.220423872423</v>
      </c>
      <c r="V35" s="741">
        <f>BAU!J8*1000</f>
        <v>79758.596766478164</v>
      </c>
      <c r="W35" s="741">
        <f>BAU!K8*1000</f>
        <v>81717.973109083905</v>
      </c>
      <c r="X35" s="741">
        <f>BAU!L8*1000</f>
        <v>83677.349451689617</v>
      </c>
      <c r="Y35" s="128"/>
      <c r="Z35" s="128" t="str">
        <f>BAU!N8</f>
        <v>Proportsionaalne sõiduautode läbisõidu kasvuga, investeeringud tingib läbilaskvuse tõstmise vajadus</v>
      </c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</row>
    <row r="36" spans="1:37">
      <c r="A36" s="127"/>
      <c r="B36" s="227" t="str">
        <f>BAU!B9</f>
        <v>KOV teedele</v>
      </c>
      <c r="C36" s="700"/>
      <c r="D36" s="223"/>
      <c r="E36" s="458">
        <f>BAU!E9*1000</f>
        <v>16936.849093538822</v>
      </c>
      <c r="F36" s="458">
        <f>$E36+($J36-$E36)/5*(F$4-$E$4)</f>
        <v>17429.380463638547</v>
      </c>
      <c r="G36" s="458">
        <f t="shared" si="31"/>
        <v>17921.911833738272</v>
      </c>
      <c r="H36" s="458">
        <f t="shared" si="31"/>
        <v>18414.443203837993</v>
      </c>
      <c r="I36" s="458">
        <f t="shared" si="31"/>
        <v>18906.974573937718</v>
      </c>
      <c r="J36" s="458">
        <f>BAU!F9*1000</f>
        <v>19399.505944037443</v>
      </c>
      <c r="K36" s="458">
        <f>$J36+($O36-$J36)/5*(K$4-$J$4)</f>
        <v>19686.851823178269</v>
      </c>
      <c r="L36" s="458">
        <f t="shared" si="33"/>
        <v>19974.197702319096</v>
      </c>
      <c r="M36" s="458">
        <f t="shared" si="33"/>
        <v>20261.543581459922</v>
      </c>
      <c r="N36" s="458">
        <f t="shared" si="33"/>
        <v>20548.889460600749</v>
      </c>
      <c r="O36" s="458">
        <f>BAU!G9*1000</f>
        <v>20836.235339741575</v>
      </c>
      <c r="P36" s="458">
        <f>$O36+($T36-$O36)/5*(P$4-$O$4)</f>
        <v>21123.581218882402</v>
      </c>
      <c r="Q36" s="458">
        <f t="shared" si="32"/>
        <v>21410.927098023225</v>
      </c>
      <c r="R36" s="458">
        <f t="shared" si="32"/>
        <v>21698.272977164052</v>
      </c>
      <c r="S36" s="458">
        <f t="shared" si="32"/>
        <v>21985.618856304874</v>
      </c>
      <c r="T36" s="458">
        <f>BAU!H9*1000</f>
        <v>22272.964735445701</v>
      </c>
      <c r="U36" s="458">
        <f>BAU!I9*1000</f>
        <v>22848.402629747801</v>
      </c>
      <c r="V36" s="741">
        <f>BAU!J9*1000</f>
        <v>23423.840524049909</v>
      </c>
      <c r="W36" s="741">
        <f>BAU!K9*1000</f>
        <v>23999.278418352013</v>
      </c>
      <c r="X36" s="741">
        <f>BAU!L9*1000</f>
        <v>24574.716312654116</v>
      </c>
      <c r="Y36" s="128"/>
      <c r="Z36" s="128" t="str">
        <f>BAU!N9</f>
        <v>Proportsionaalne sõiduautode läbisõidu kasvuga, investeeringud tingib läbilaskvuse tõstmise vajadus</v>
      </c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</row>
    <row r="37" spans="1:37">
      <c r="A37" s="127"/>
      <c r="B37" s="217" t="str">
        <f>BAU!B10</f>
        <v>Raudteed</v>
      </c>
      <c r="C37" s="699"/>
      <c r="D37" s="218"/>
      <c r="E37" s="457">
        <f>SUM(E38:E39)</f>
        <v>0</v>
      </c>
      <c r="F37" s="457">
        <f t="shared" ref="F37:T37" si="34">SUM(F38:F39)</f>
        <v>0</v>
      </c>
      <c r="G37" s="457">
        <f t="shared" si="34"/>
        <v>0</v>
      </c>
      <c r="H37" s="457">
        <f t="shared" si="34"/>
        <v>0</v>
      </c>
      <c r="I37" s="457">
        <f t="shared" si="34"/>
        <v>0</v>
      </c>
      <c r="J37" s="457">
        <f t="shared" si="34"/>
        <v>0</v>
      </c>
      <c r="K37" s="457">
        <f t="shared" si="34"/>
        <v>0</v>
      </c>
      <c r="L37" s="457">
        <f t="shared" si="34"/>
        <v>0</v>
      </c>
      <c r="M37" s="457">
        <f t="shared" si="34"/>
        <v>0</v>
      </c>
      <c r="N37" s="457">
        <f t="shared" si="34"/>
        <v>0</v>
      </c>
      <c r="O37" s="457">
        <f t="shared" si="34"/>
        <v>26000</v>
      </c>
      <c r="P37" s="457">
        <f t="shared" si="34"/>
        <v>26000</v>
      </c>
      <c r="Q37" s="457">
        <f t="shared" si="34"/>
        <v>26000</v>
      </c>
      <c r="R37" s="457">
        <f t="shared" si="34"/>
        <v>26000</v>
      </c>
      <c r="S37" s="457">
        <f t="shared" si="34"/>
        <v>26000</v>
      </c>
      <c r="T37" s="457">
        <f t="shared" si="34"/>
        <v>26000</v>
      </c>
      <c r="U37" s="457">
        <f>BAU!I10*1000</f>
        <v>26000</v>
      </c>
      <c r="V37" s="740">
        <f>BAU!J10*1000</f>
        <v>26000</v>
      </c>
      <c r="W37" s="740">
        <f>BAU!K10*1000</f>
        <v>26000</v>
      </c>
      <c r="X37" s="740">
        <f>BAU!L10*1000</f>
        <v>26000</v>
      </c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</row>
    <row r="38" spans="1:37">
      <c r="A38" s="127"/>
      <c r="B38" s="228" t="str">
        <f>BAU!B11</f>
        <v>Rail Baltic</v>
      </c>
      <c r="C38" s="701"/>
      <c r="D38" s="229"/>
      <c r="E38" s="459">
        <f>BAU!E11*1000</f>
        <v>0</v>
      </c>
      <c r="F38" s="459"/>
      <c r="G38" s="459"/>
      <c r="H38" s="459"/>
      <c r="I38" s="459"/>
      <c r="J38" s="459">
        <f>BAU!F11*1000</f>
        <v>0</v>
      </c>
      <c r="K38" s="459"/>
      <c r="L38" s="459"/>
      <c r="M38" s="459"/>
      <c r="N38" s="459"/>
      <c r="O38" s="459">
        <f>BAU!G11*1000</f>
        <v>26000</v>
      </c>
      <c r="P38" s="458">
        <f>$O38+($T38-$O38)/5*(P$4-$O$4)</f>
        <v>26000</v>
      </c>
      <c r="Q38" s="458">
        <f t="shared" si="32"/>
        <v>26000</v>
      </c>
      <c r="R38" s="458">
        <f t="shared" si="32"/>
        <v>26000</v>
      </c>
      <c r="S38" s="458">
        <f t="shared" si="32"/>
        <v>26000</v>
      </c>
      <c r="T38" s="459">
        <f>BAU!H11*1000</f>
        <v>26000</v>
      </c>
      <c r="U38" s="459">
        <f>BAU!I11*1000</f>
        <v>26000</v>
      </c>
      <c r="V38" s="742">
        <f>BAU!J11*1000</f>
        <v>26000</v>
      </c>
      <c r="W38" s="742">
        <f>BAU!K11*1000</f>
        <v>26000</v>
      </c>
      <c r="X38" s="742">
        <f>BAU!L11*1000</f>
        <v>26000</v>
      </c>
      <c r="Y38" s="128"/>
      <c r="Z38" s="128" t="str">
        <f>BAU!N11</f>
        <v>Ühekordne investeering 1040, jaotatud 40 aasta peale</v>
      </c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</row>
    <row r="39" spans="1:37">
      <c r="A39" s="127"/>
      <c r="B39" s="228" t="str">
        <f>BAU!B12</f>
        <v>Muud investeeringud</v>
      </c>
      <c r="C39" s="701"/>
      <c r="D39" s="229"/>
      <c r="E39" s="459">
        <f>BAU!E12*1000</f>
        <v>0</v>
      </c>
      <c r="F39" s="459"/>
      <c r="G39" s="459"/>
      <c r="H39" s="459"/>
      <c r="I39" s="459"/>
      <c r="J39" s="459">
        <f>BAU!F12*1000</f>
        <v>0</v>
      </c>
      <c r="K39" s="459"/>
      <c r="L39" s="459"/>
      <c r="M39" s="459"/>
      <c r="N39" s="459"/>
      <c r="O39" s="459">
        <f>BAU!G12*1000</f>
        <v>0</v>
      </c>
      <c r="P39" s="459"/>
      <c r="Q39" s="459"/>
      <c r="R39" s="459"/>
      <c r="S39" s="459"/>
      <c r="T39" s="459">
        <f>BAU!H12*1000</f>
        <v>0</v>
      </c>
      <c r="U39" s="459">
        <f>BAU!I12*1000</f>
        <v>0</v>
      </c>
      <c r="V39" s="742">
        <f>BAU!J12*1000</f>
        <v>0</v>
      </c>
      <c r="W39" s="742">
        <f>BAU!K12*1000</f>
        <v>0</v>
      </c>
      <c r="X39" s="742">
        <f>BAU!L12*1000</f>
        <v>0</v>
      </c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</row>
    <row r="40" spans="1:37">
      <c r="A40" s="127"/>
      <c r="B40" s="217" t="str">
        <f>BAU!B13</f>
        <v>Autode import</v>
      </c>
      <c r="C40" s="699"/>
      <c r="D40" s="218"/>
      <c r="E40" s="457">
        <f>SUM(E41:E44)</f>
        <v>655774.92307692312</v>
      </c>
      <c r="F40" s="457">
        <f t="shared" ref="F40:T40" si="35">SUM(F41:F44)</f>
        <v>652443.19230769237</v>
      </c>
      <c r="G40" s="457">
        <f t="shared" si="35"/>
        <v>649111.4615384615</v>
      </c>
      <c r="H40" s="457">
        <f t="shared" si="35"/>
        <v>645779.73076923075</v>
      </c>
      <c r="I40" s="457">
        <f t="shared" si="35"/>
        <v>642448</v>
      </c>
      <c r="J40" s="457">
        <f t="shared" si="35"/>
        <v>639116.26923076925</v>
      </c>
      <c r="K40" s="457">
        <f t="shared" si="35"/>
        <v>645332.09461538459</v>
      </c>
      <c r="L40" s="457">
        <f t="shared" si="35"/>
        <v>651547.92000000004</v>
      </c>
      <c r="M40" s="457">
        <f t="shared" si="35"/>
        <v>657763.74538461538</v>
      </c>
      <c r="N40" s="457">
        <f t="shared" si="35"/>
        <v>663979.57076923072</v>
      </c>
      <c r="O40" s="457">
        <f t="shared" si="35"/>
        <v>670195.39615384617</v>
      </c>
      <c r="P40" s="457">
        <f t="shared" si="35"/>
        <v>671709.31538461545</v>
      </c>
      <c r="Q40" s="457">
        <f t="shared" si="35"/>
        <v>673223.2346153846</v>
      </c>
      <c r="R40" s="457">
        <f t="shared" si="35"/>
        <v>674737.15384615387</v>
      </c>
      <c r="S40" s="457">
        <f t="shared" si="35"/>
        <v>676251.07307692303</v>
      </c>
      <c r="T40" s="457">
        <f t="shared" si="35"/>
        <v>677764.9923076923</v>
      </c>
      <c r="U40" s="457">
        <f>BAU!I13*1000</f>
        <v>699750.5705128205</v>
      </c>
      <c r="V40" s="740">
        <f>BAU!J13*1000</f>
        <v>694948.62820512825</v>
      </c>
      <c r="W40" s="740">
        <f>BAU!K13*1000</f>
        <v>685538.12820512825</v>
      </c>
      <c r="X40" s="740">
        <f>BAU!L13*1000</f>
        <v>685823.12820512836</v>
      </c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</row>
    <row r="41" spans="1:37">
      <c r="A41" s="127"/>
      <c r="B41" s="227" t="str">
        <f>BAU!B14</f>
        <v>Uued siseturule (eraisikud)</v>
      </c>
      <c r="C41" s="700"/>
      <c r="D41" s="223"/>
      <c r="E41" s="458">
        <f>BAU!E14*1000</f>
        <v>135765.30769230772</v>
      </c>
      <c r="F41" s="458">
        <f t="shared" ref="F41:I44" si="36">$E41+($J41-$E41)/5*(F$4-$E$4)</f>
        <v>137842.23076923078</v>
      </c>
      <c r="G41" s="458">
        <f t="shared" si="36"/>
        <v>139919.15384615387</v>
      </c>
      <c r="H41" s="458">
        <f t="shared" si="36"/>
        <v>141996.07692307694</v>
      </c>
      <c r="I41" s="458">
        <f t="shared" si="36"/>
        <v>144073.00000000003</v>
      </c>
      <c r="J41" s="458">
        <f>BAU!F14*1000</f>
        <v>146149.92307692309</v>
      </c>
      <c r="K41" s="458">
        <f t="shared" ref="K41:N44" si="37">$J41+($O41-$J41)/5*(K$4-$J$4)</f>
        <v>150223.92153846155</v>
      </c>
      <c r="L41" s="458">
        <f t="shared" si="37"/>
        <v>154297.92000000001</v>
      </c>
      <c r="M41" s="458">
        <f t="shared" si="37"/>
        <v>158371.91846153847</v>
      </c>
      <c r="N41" s="458">
        <f t="shared" si="37"/>
        <v>162445.91692307693</v>
      </c>
      <c r="O41" s="458">
        <f>BAU!G14*1000</f>
        <v>166519.91538461539</v>
      </c>
      <c r="P41" s="458">
        <f t="shared" ref="P41:S44" si="38">$O41+($T41-$O41)/5*(P$4-$O$4)</f>
        <v>168661.23846153848</v>
      </c>
      <c r="Q41" s="458">
        <f t="shared" si="38"/>
        <v>170802.56153846154</v>
      </c>
      <c r="R41" s="458">
        <f t="shared" si="38"/>
        <v>172943.88461538462</v>
      </c>
      <c r="S41" s="458">
        <f t="shared" si="38"/>
        <v>175085.20769230768</v>
      </c>
      <c r="T41" s="458">
        <f>BAU!H14*1000</f>
        <v>177226.53076923077</v>
      </c>
      <c r="U41" s="458">
        <f>BAU!I14*1000</f>
        <v>195426.05128205131</v>
      </c>
      <c r="V41" s="741">
        <f>BAU!J14*1000</f>
        <v>202068.8205128205</v>
      </c>
      <c r="W41" s="741">
        <f>BAU!K14*1000</f>
        <v>202220.82051282053</v>
      </c>
      <c r="X41" s="741">
        <f>BAU!L14*1000</f>
        <v>202505.82051282056</v>
      </c>
      <c r="Y41" s="128"/>
      <c r="Z41" s="128" t="str">
        <f>BAU!N14</f>
        <v>Proportsionaalne sõiduautode läbisõidu kasvuga, investeeringud tingib läbilaskvuse tõstmise vajadus</v>
      </c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</row>
    <row r="42" spans="1:37">
      <c r="A42" s="127"/>
      <c r="B42" s="227" t="str">
        <f>BAU!B15</f>
        <v>Uued siseturule (ettevõtted)</v>
      </c>
      <c r="C42" s="700"/>
      <c r="D42" s="223"/>
      <c r="E42" s="458">
        <f>BAU!E15*1000</f>
        <v>271384.61538461543</v>
      </c>
      <c r="F42" s="458">
        <f t="shared" si="36"/>
        <v>275538.46153846156</v>
      </c>
      <c r="G42" s="458">
        <f t="shared" si="36"/>
        <v>279692.30769230769</v>
      </c>
      <c r="H42" s="458">
        <f t="shared" si="36"/>
        <v>283846.15384615387</v>
      </c>
      <c r="I42" s="458">
        <f t="shared" si="36"/>
        <v>288000</v>
      </c>
      <c r="J42" s="458">
        <f>BAU!F15*1000</f>
        <v>292153.84615384613</v>
      </c>
      <c r="K42" s="458">
        <f t="shared" si="37"/>
        <v>299076.92307692306</v>
      </c>
      <c r="L42" s="458">
        <f t="shared" si="37"/>
        <v>306000</v>
      </c>
      <c r="M42" s="458">
        <f t="shared" si="37"/>
        <v>312923.07692307688</v>
      </c>
      <c r="N42" s="458">
        <f t="shared" si="37"/>
        <v>319846.15384615381</v>
      </c>
      <c r="O42" s="458">
        <f>BAU!G15*1000</f>
        <v>326769.23076923075</v>
      </c>
      <c r="P42" s="458">
        <f t="shared" si="38"/>
        <v>330923.07692307694</v>
      </c>
      <c r="Q42" s="458">
        <f t="shared" si="38"/>
        <v>335076.92307692306</v>
      </c>
      <c r="R42" s="458">
        <f t="shared" si="38"/>
        <v>339230.76923076925</v>
      </c>
      <c r="S42" s="458">
        <f t="shared" si="38"/>
        <v>343384.61538461538</v>
      </c>
      <c r="T42" s="458">
        <f>BAU!H15*1000</f>
        <v>347538.46153846156</v>
      </c>
      <c r="U42" s="458">
        <f>BAU!I15*1000</f>
        <v>375230.76923076931</v>
      </c>
      <c r="V42" s="741">
        <f>BAU!J15*1000</f>
        <v>387692.30769230775</v>
      </c>
      <c r="W42" s="741">
        <f>BAU!K15*1000</f>
        <v>387692.30769230775</v>
      </c>
      <c r="X42" s="741">
        <f>BAU!L15*1000</f>
        <v>387692.30769230775</v>
      </c>
      <c r="Y42" s="128"/>
      <c r="Z42" s="128" t="str">
        <f>BAU!N15</f>
        <v>Proportsionaalne sõiduautode läbisõidu kasvuga, investeeringud tingib läbilaskvuse tõstmise vajadus</v>
      </c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</row>
    <row r="43" spans="1:37">
      <c r="A43" s="127"/>
      <c r="B43" s="227" t="str">
        <f>BAU!B16</f>
        <v>Kasutatud siseturule (eraisikud)</v>
      </c>
      <c r="C43" s="700"/>
      <c r="D43" s="223"/>
      <c r="E43" s="458">
        <f>BAU!E16*1000</f>
        <v>175500</v>
      </c>
      <c r="F43" s="458">
        <f t="shared" si="36"/>
        <v>168750</v>
      </c>
      <c r="G43" s="458">
        <f t="shared" si="36"/>
        <v>162000</v>
      </c>
      <c r="H43" s="458">
        <f t="shared" si="36"/>
        <v>155250</v>
      </c>
      <c r="I43" s="458">
        <f t="shared" si="36"/>
        <v>148500</v>
      </c>
      <c r="J43" s="458">
        <f>BAU!F16*1000</f>
        <v>141750</v>
      </c>
      <c r="K43" s="458">
        <f t="shared" si="37"/>
        <v>138375</v>
      </c>
      <c r="L43" s="458">
        <f t="shared" si="37"/>
        <v>135000</v>
      </c>
      <c r="M43" s="458">
        <f t="shared" si="37"/>
        <v>131625</v>
      </c>
      <c r="N43" s="458">
        <f t="shared" si="37"/>
        <v>128250</v>
      </c>
      <c r="O43" s="458">
        <f>BAU!G16*1000</f>
        <v>124875</v>
      </c>
      <c r="P43" s="458">
        <f t="shared" si="38"/>
        <v>121500</v>
      </c>
      <c r="Q43" s="458">
        <f t="shared" si="38"/>
        <v>118125</v>
      </c>
      <c r="R43" s="458">
        <f t="shared" si="38"/>
        <v>114750</v>
      </c>
      <c r="S43" s="458">
        <f t="shared" si="38"/>
        <v>111375</v>
      </c>
      <c r="T43" s="458">
        <f>BAU!H16*1000</f>
        <v>108000</v>
      </c>
      <c r="U43" s="458">
        <f>BAU!I16*1000</f>
        <v>91125</v>
      </c>
      <c r="V43" s="741">
        <f>BAU!J16*1000</f>
        <v>74250</v>
      </c>
      <c r="W43" s="741">
        <f>BAU!K16*1000</f>
        <v>67500</v>
      </c>
      <c r="X43" s="741">
        <f>BAU!L16*1000</f>
        <v>67500</v>
      </c>
      <c r="Y43" s="128"/>
      <c r="Z43" s="128" t="str">
        <f>BAU!N16</f>
        <v>Proportsionaalne sõiduautode läbisõidu kasvuga, investeeringud tingib läbilaskvuse tõstmise vajadus</v>
      </c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</row>
    <row r="44" spans="1:37">
      <c r="A44" s="127"/>
      <c r="B44" s="227" t="str">
        <f>BAU!B17</f>
        <v>Kasutatud siseturule (ettevõtted)</v>
      </c>
      <c r="C44" s="700"/>
      <c r="D44" s="223"/>
      <c r="E44" s="458">
        <f>BAU!E17*1000</f>
        <v>73125</v>
      </c>
      <c r="F44" s="458">
        <f t="shared" si="36"/>
        <v>70312.5</v>
      </c>
      <c r="G44" s="458">
        <f t="shared" si="36"/>
        <v>67500</v>
      </c>
      <c r="H44" s="458">
        <f t="shared" si="36"/>
        <v>64687.5</v>
      </c>
      <c r="I44" s="458">
        <f t="shared" si="36"/>
        <v>61875</v>
      </c>
      <c r="J44" s="458">
        <f>BAU!F17*1000</f>
        <v>59062.5</v>
      </c>
      <c r="K44" s="458">
        <f t="shared" si="37"/>
        <v>57656.25</v>
      </c>
      <c r="L44" s="458">
        <f t="shared" si="37"/>
        <v>56250</v>
      </c>
      <c r="M44" s="458">
        <f t="shared" si="37"/>
        <v>54843.75</v>
      </c>
      <c r="N44" s="458">
        <f t="shared" si="37"/>
        <v>53437.5</v>
      </c>
      <c r="O44" s="458">
        <f>BAU!G17*1000</f>
        <v>52031.25</v>
      </c>
      <c r="P44" s="458">
        <f t="shared" si="38"/>
        <v>50625</v>
      </c>
      <c r="Q44" s="458">
        <f t="shared" si="38"/>
        <v>49218.75</v>
      </c>
      <c r="R44" s="458">
        <f t="shared" si="38"/>
        <v>47812.5</v>
      </c>
      <c r="S44" s="458">
        <f t="shared" si="38"/>
        <v>46406.25</v>
      </c>
      <c r="T44" s="458">
        <f>BAU!H17*1000</f>
        <v>45000</v>
      </c>
      <c r="U44" s="458">
        <f>BAU!I17*1000</f>
        <v>37968.75</v>
      </c>
      <c r="V44" s="741">
        <f>BAU!J17*1000</f>
        <v>30937.5</v>
      </c>
      <c r="W44" s="741">
        <f>BAU!K17*1000</f>
        <v>28125</v>
      </c>
      <c r="X44" s="741">
        <f>BAU!L17*1000</f>
        <v>28125</v>
      </c>
      <c r="Y44" s="128"/>
      <c r="Z44" s="128" t="str">
        <f>BAU!N17</f>
        <v>Proportsionaalne sõiduautode läbisõidu kasvuga, investeeringud tingib läbilaskvuse tõstmise vajadus</v>
      </c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</row>
    <row r="45" spans="1:37">
      <c r="A45" s="127"/>
      <c r="B45" s="213" t="str">
        <f>BAU!B18</f>
        <v>Hooldus ja remont</v>
      </c>
      <c r="C45" s="702">
        <v>1000</v>
      </c>
      <c r="D45" s="213"/>
      <c r="E45" s="456">
        <f>SUM(E46,E49,E53)</f>
        <v>495580.50797364156</v>
      </c>
      <c r="F45" s="456">
        <f t="shared" ref="F45:T45" si="39">SUM(F46,F49,F53)</f>
        <v>506913.47980530129</v>
      </c>
      <c r="G45" s="456">
        <f t="shared" si="39"/>
        <v>518246.45163696102</v>
      </c>
      <c r="H45" s="456">
        <f t="shared" si="39"/>
        <v>529579.42346862075</v>
      </c>
      <c r="I45" s="456">
        <f t="shared" si="39"/>
        <v>540912.39530028042</v>
      </c>
      <c r="J45" s="456">
        <f t="shared" si="39"/>
        <v>552245.36713194009</v>
      </c>
      <c r="K45" s="456">
        <f t="shared" si="39"/>
        <v>561479.61919459142</v>
      </c>
      <c r="L45" s="456">
        <f t="shared" si="39"/>
        <v>570713.87125724275</v>
      </c>
      <c r="M45" s="456">
        <f t="shared" si="39"/>
        <v>579948.12331989396</v>
      </c>
      <c r="N45" s="456">
        <f t="shared" si="39"/>
        <v>589182.3753825454</v>
      </c>
      <c r="O45" s="456">
        <f t="shared" si="39"/>
        <v>601716.6274451965</v>
      </c>
      <c r="P45" s="456">
        <f t="shared" si="39"/>
        <v>609965.29348609457</v>
      </c>
      <c r="Q45" s="456">
        <f t="shared" si="39"/>
        <v>618213.95952699275</v>
      </c>
      <c r="R45" s="456">
        <f t="shared" si="39"/>
        <v>626462.62556789082</v>
      </c>
      <c r="S45" s="456">
        <f t="shared" si="39"/>
        <v>634711.291608789</v>
      </c>
      <c r="T45" s="456">
        <f t="shared" si="39"/>
        <v>642959.95764968707</v>
      </c>
      <c r="U45" s="456">
        <f>BAU!I18*1000</f>
        <v>663234.86768314359</v>
      </c>
      <c r="V45" s="743">
        <f>BAU!J18*1000</f>
        <v>681265.09871660022</v>
      </c>
      <c r="W45" s="743">
        <f>BAU!K18*1000</f>
        <v>695804.56235005683</v>
      </c>
      <c r="X45" s="743">
        <f>BAU!L18*1000</f>
        <v>710113.84478351346</v>
      </c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</row>
    <row r="46" spans="1:37">
      <c r="A46" s="127"/>
      <c r="B46" s="217" t="str">
        <f>BAU!B19</f>
        <v>Maanteed ja tänavad</v>
      </c>
      <c r="C46" s="699"/>
      <c r="D46" s="218"/>
      <c r="E46" s="457">
        <f>SUM(E47:E48)</f>
        <v>205605.27364030824</v>
      </c>
      <c r="F46" s="457">
        <f t="shared" ref="F46:T46" si="40">SUM(F47:F48)</f>
        <v>205821.15899730127</v>
      </c>
      <c r="G46" s="457">
        <f t="shared" si="40"/>
        <v>206037.04435429431</v>
      </c>
      <c r="H46" s="457">
        <f t="shared" si="40"/>
        <v>206252.92971128738</v>
      </c>
      <c r="I46" s="457">
        <f t="shared" si="40"/>
        <v>206468.81506828041</v>
      </c>
      <c r="J46" s="457">
        <f t="shared" si="40"/>
        <v>206684.70042527345</v>
      </c>
      <c r="K46" s="457">
        <f t="shared" si="40"/>
        <v>211194.47848500015</v>
      </c>
      <c r="L46" s="457">
        <f t="shared" si="40"/>
        <v>215704.25654472684</v>
      </c>
      <c r="M46" s="457">
        <f t="shared" si="40"/>
        <v>220214.03460445351</v>
      </c>
      <c r="N46" s="457">
        <f t="shared" si="40"/>
        <v>224723.81266418018</v>
      </c>
      <c r="O46" s="457">
        <f t="shared" si="40"/>
        <v>229233.59072390688</v>
      </c>
      <c r="P46" s="457">
        <f t="shared" si="40"/>
        <v>233743.36878363354</v>
      </c>
      <c r="Q46" s="457">
        <f t="shared" si="40"/>
        <v>238253.14684336021</v>
      </c>
      <c r="R46" s="457">
        <f t="shared" si="40"/>
        <v>242762.92490308688</v>
      </c>
      <c r="S46" s="457">
        <f t="shared" si="40"/>
        <v>247272.70296281355</v>
      </c>
      <c r="T46" s="457">
        <f t="shared" si="40"/>
        <v>251782.48102254025</v>
      </c>
      <c r="U46" s="457">
        <f>BAU!I19*1000</f>
        <v>256365.89837583658</v>
      </c>
      <c r="V46" s="740">
        <f>BAU!J19*1000</f>
        <v>260949.315729133</v>
      </c>
      <c r="W46" s="740">
        <f>BAU!K19*1000</f>
        <v>265532.73308242939</v>
      </c>
      <c r="X46" s="740">
        <f>BAU!L19*1000</f>
        <v>270116.15043572581</v>
      </c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</row>
    <row r="47" spans="1:37">
      <c r="B47" s="227" t="str">
        <f>BAU!B20</f>
        <v>Riik maanteedele</v>
      </c>
      <c r="C47" s="700"/>
      <c r="D47" s="223"/>
      <c r="E47" s="458">
        <f>BAU!E20*1000</f>
        <v>161000</v>
      </c>
      <c r="F47" s="458">
        <f t="shared" ref="F47:I48" si="41">$E47+($J47-$E47)/5*(F$4-$E$4)</f>
        <v>159915.69501776615</v>
      </c>
      <c r="G47" s="458">
        <f t="shared" si="41"/>
        <v>158831.3900355323</v>
      </c>
      <c r="H47" s="458">
        <f t="shared" si="41"/>
        <v>157747.08505329845</v>
      </c>
      <c r="I47" s="458">
        <f t="shared" si="41"/>
        <v>156662.7800710646</v>
      </c>
      <c r="J47" s="458">
        <f>BAU!F20*1000</f>
        <v>155578.47508883075</v>
      </c>
      <c r="K47" s="458">
        <f t="shared" ref="K47:N48" si="42">$J47+($O47-$J47)/5*(K$4-$J$4)</f>
        <v>159331.26669275633</v>
      </c>
      <c r="L47" s="458">
        <f t="shared" si="42"/>
        <v>163084.05829668191</v>
      </c>
      <c r="M47" s="458">
        <f t="shared" si="42"/>
        <v>166836.84990060749</v>
      </c>
      <c r="N47" s="458">
        <f t="shared" si="42"/>
        <v>170589.64150453307</v>
      </c>
      <c r="O47" s="458">
        <f>BAU!G20*1000</f>
        <v>174342.43310845864</v>
      </c>
      <c r="P47" s="458">
        <f t="shared" ref="P47:S48" si="43">$O47+($T47-$O47)/5*(P$4-$O$4)</f>
        <v>178095.22471238422</v>
      </c>
      <c r="Q47" s="458">
        <f t="shared" si="43"/>
        <v>181848.0163163098</v>
      </c>
      <c r="R47" s="458">
        <f t="shared" si="43"/>
        <v>185600.80792023535</v>
      </c>
      <c r="S47" s="458">
        <f t="shared" si="43"/>
        <v>189353.59952416093</v>
      </c>
      <c r="T47" s="458">
        <f>BAU!H20*1000</f>
        <v>193106.39112808651</v>
      </c>
      <c r="U47" s="458">
        <f>BAU!I20*1000</f>
        <v>196173.86994263003</v>
      </c>
      <c r="V47" s="741">
        <f>BAU!J20*1000</f>
        <v>199241.3487571736</v>
      </c>
      <c r="W47" s="741">
        <f>BAU!K20*1000</f>
        <v>202308.82757171709</v>
      </c>
      <c r="X47" s="741">
        <f>BAU!L20*1000</f>
        <v>205376.30638626067</v>
      </c>
      <c r="Y47" s="128"/>
      <c r="Z47" s="128" t="str">
        <f>BAU!N20</f>
        <v>Proportsionaalne veoautode tonnkilomeetrite kasvuga, normteljed määravad katendi eluea</v>
      </c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</row>
    <row r="48" spans="1:37">
      <c r="A48" s="127"/>
      <c r="B48" s="227" t="str">
        <f>BAU!B21</f>
        <v>KOV</v>
      </c>
      <c r="C48" s="700"/>
      <c r="D48" s="223"/>
      <c r="E48" s="458">
        <f>BAU!E21*1000</f>
        <v>44605.273640308224</v>
      </c>
      <c r="F48" s="458">
        <f t="shared" si="41"/>
        <v>45905.463979535125</v>
      </c>
      <c r="G48" s="458">
        <f t="shared" si="41"/>
        <v>47205.654318762019</v>
      </c>
      <c r="H48" s="458">
        <f t="shared" si="41"/>
        <v>48505.844657988921</v>
      </c>
      <c r="I48" s="458">
        <f t="shared" si="41"/>
        <v>49806.034997215815</v>
      </c>
      <c r="J48" s="458">
        <f>BAU!F21*1000</f>
        <v>51106.225336442716</v>
      </c>
      <c r="K48" s="458">
        <f t="shared" si="42"/>
        <v>51863.211792243819</v>
      </c>
      <c r="L48" s="458">
        <f t="shared" si="42"/>
        <v>52620.198248044922</v>
      </c>
      <c r="M48" s="458">
        <f t="shared" si="42"/>
        <v>53377.184703846018</v>
      </c>
      <c r="N48" s="458">
        <f t="shared" si="42"/>
        <v>54134.171159647121</v>
      </c>
      <c r="O48" s="458">
        <f>BAU!G21*1000</f>
        <v>54891.157615448225</v>
      </c>
      <c r="P48" s="458">
        <f t="shared" si="43"/>
        <v>55648.14407124932</v>
      </c>
      <c r="Q48" s="458">
        <f t="shared" si="43"/>
        <v>56405.130527050424</v>
      </c>
      <c r="R48" s="458">
        <f t="shared" si="43"/>
        <v>57162.116982851519</v>
      </c>
      <c r="S48" s="458">
        <f t="shared" si="43"/>
        <v>57919.103438652623</v>
      </c>
      <c r="T48" s="458">
        <f>BAU!H21*1000</f>
        <v>58676.089894453718</v>
      </c>
      <c r="U48" s="458">
        <f>BAU!I21*1000</f>
        <v>60192.028433206564</v>
      </c>
      <c r="V48" s="741">
        <f>BAU!J21*1000</f>
        <v>61707.966971959424</v>
      </c>
      <c r="W48" s="741">
        <f>BAU!K21*1000</f>
        <v>63223.905510712284</v>
      </c>
      <c r="X48" s="741">
        <f>BAU!L21*1000</f>
        <v>64739.844049465137</v>
      </c>
      <c r="Y48" s="128"/>
      <c r="Z48" s="128" t="str">
        <f>BAU!N21</f>
        <v>Proportsionaalne sõiduautode läbisõidu kasvuga, suurema läbisõiduga kaasneb suurem remondi ja hoolduse vajadus</v>
      </c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</row>
    <row r="49" spans="1:37">
      <c r="A49" s="127"/>
      <c r="B49" s="217" t="str">
        <f>BAU!B22</f>
        <v>Raudteed</v>
      </c>
      <c r="C49" s="699"/>
      <c r="D49" s="218"/>
      <c r="E49" s="457">
        <f>SUM(E50:E52)</f>
        <v>17567.25</v>
      </c>
      <c r="F49" s="457">
        <f t="shared" ref="F49:T49" si="44">SUM(F50:F52)</f>
        <v>21567.25</v>
      </c>
      <c r="G49" s="457">
        <f t="shared" si="44"/>
        <v>25567.25</v>
      </c>
      <c r="H49" s="457">
        <f t="shared" si="44"/>
        <v>29567.25</v>
      </c>
      <c r="I49" s="457">
        <f t="shared" si="44"/>
        <v>33567.25</v>
      </c>
      <c r="J49" s="457">
        <f t="shared" si="44"/>
        <v>37567.25</v>
      </c>
      <c r="K49" s="457">
        <f t="shared" si="44"/>
        <v>37588.827586924592</v>
      </c>
      <c r="L49" s="457">
        <f t="shared" si="44"/>
        <v>37610.405173849183</v>
      </c>
      <c r="M49" s="457">
        <f t="shared" si="44"/>
        <v>37631.982760773783</v>
      </c>
      <c r="N49" s="457">
        <f t="shared" si="44"/>
        <v>37653.560347698367</v>
      </c>
      <c r="O49" s="457">
        <f t="shared" si="44"/>
        <v>40975.137934622966</v>
      </c>
      <c r="P49" s="457">
        <f t="shared" si="44"/>
        <v>41006.209659794375</v>
      </c>
      <c r="Q49" s="457">
        <f t="shared" si="44"/>
        <v>41037.281384965798</v>
      </c>
      <c r="R49" s="457">
        <f t="shared" si="44"/>
        <v>41068.353110137206</v>
      </c>
      <c r="S49" s="457">
        <f t="shared" si="44"/>
        <v>41099.424835308615</v>
      </c>
      <c r="T49" s="457">
        <f t="shared" si="44"/>
        <v>41130.496560480038</v>
      </c>
      <c r="U49" s="457">
        <f>BAU!I22*1000</f>
        <v>41425.372173973585</v>
      </c>
      <c r="V49" s="740">
        <f>BAU!J22*1000</f>
        <v>41720.247787467146</v>
      </c>
      <c r="W49" s="740">
        <f>BAU!K22*1000</f>
        <v>42015.123400960692</v>
      </c>
      <c r="X49" s="740">
        <f>BAU!L22*1000</f>
        <v>42309.999014454246</v>
      </c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</row>
    <row r="50" spans="1:37">
      <c r="B50" s="227" t="str">
        <f>BAU!B23</f>
        <v>Rail Baltic</v>
      </c>
      <c r="C50" s="700"/>
      <c r="D50" s="223"/>
      <c r="E50" s="458">
        <f>BAU!E23*1000</f>
        <v>0</v>
      </c>
      <c r="F50" s="458"/>
      <c r="G50" s="458"/>
      <c r="H50" s="458"/>
      <c r="I50" s="458"/>
      <c r="J50" s="458">
        <f>BAU!F23*1000</f>
        <v>0</v>
      </c>
      <c r="K50" s="458"/>
      <c r="L50" s="458"/>
      <c r="M50" s="458"/>
      <c r="N50" s="458"/>
      <c r="O50" s="458">
        <f>BAU!G23*1000</f>
        <v>3300</v>
      </c>
      <c r="P50" s="458">
        <f t="shared" ref="P50:S52" si="45">$O50+($T50-$O50)/5*(P$4-$O$4)</f>
        <v>3309.494138246821</v>
      </c>
      <c r="Q50" s="458">
        <f t="shared" si="45"/>
        <v>3318.9882764936419</v>
      </c>
      <c r="R50" s="458">
        <f t="shared" si="45"/>
        <v>3328.4824147404624</v>
      </c>
      <c r="S50" s="458">
        <f t="shared" si="45"/>
        <v>3337.9765529872834</v>
      </c>
      <c r="T50" s="458">
        <f>BAU!H23*1000</f>
        <v>3347.4706912341044</v>
      </c>
      <c r="U50" s="458">
        <f>BAU!I23*1000</f>
        <v>3400.6449821919582</v>
      </c>
      <c r="V50" s="741">
        <f>BAU!J23*1000</f>
        <v>3453.819273149812</v>
      </c>
      <c r="W50" s="741">
        <f>BAU!K23*1000</f>
        <v>3506.9935641076659</v>
      </c>
      <c r="X50" s="741">
        <f>BAU!L23*1000</f>
        <v>3560.1678550655201</v>
      </c>
      <c r="Y50" s="128"/>
      <c r="Z50" s="128" t="str">
        <f>BAU!N23</f>
        <v>Proportsionaalne kaubavedude kasvuga, rohkem veotonne tingib suurema hooldusvajaduse</v>
      </c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</row>
    <row r="51" spans="1:37">
      <c r="B51" s="227" t="str">
        <f>BAU!B24</f>
        <v>Hooldus</v>
      </c>
      <c r="C51" s="700"/>
      <c r="D51" s="223"/>
      <c r="E51" s="458">
        <f>BAU!E24*1000</f>
        <v>15000</v>
      </c>
      <c r="F51" s="458">
        <f t="shared" ref="F51:I52" si="46">$E51+($J51-$E51)/5*(F$4-$E$4)</f>
        <v>15000</v>
      </c>
      <c r="G51" s="458">
        <f t="shared" si="46"/>
        <v>15000</v>
      </c>
      <c r="H51" s="458">
        <f t="shared" si="46"/>
        <v>15000</v>
      </c>
      <c r="I51" s="458">
        <f t="shared" si="46"/>
        <v>15000</v>
      </c>
      <c r="J51" s="458">
        <f>BAU!F24*1000</f>
        <v>15000</v>
      </c>
      <c r="K51" s="458">
        <f t="shared" ref="K51:N52" si="47">$J51+($O51-$J51)/5*(K$4-$J$4)</f>
        <v>15021.577586924594</v>
      </c>
      <c r="L51" s="458">
        <f t="shared" si="47"/>
        <v>15043.155173849185</v>
      </c>
      <c r="M51" s="458">
        <f t="shared" si="47"/>
        <v>15064.732760773779</v>
      </c>
      <c r="N51" s="458">
        <f t="shared" si="47"/>
        <v>15086.310347698371</v>
      </c>
      <c r="O51" s="458">
        <f>BAU!G24*1000</f>
        <v>15107.887934622964</v>
      </c>
      <c r="P51" s="458">
        <f t="shared" si="45"/>
        <v>15129.465521547558</v>
      </c>
      <c r="Q51" s="458">
        <f t="shared" si="45"/>
        <v>15151.043108472151</v>
      </c>
      <c r="R51" s="458">
        <f t="shared" si="45"/>
        <v>15172.620695396743</v>
      </c>
      <c r="S51" s="458">
        <f t="shared" si="45"/>
        <v>15194.198282321337</v>
      </c>
      <c r="T51" s="458">
        <f>BAU!H24*1000</f>
        <v>15215.77586924593</v>
      </c>
      <c r="U51" s="458">
        <f>BAU!I24*1000</f>
        <v>15457.477191781629</v>
      </c>
      <c r="V51" s="741">
        <f>BAU!J24*1000</f>
        <v>15699.178514317327</v>
      </c>
      <c r="W51" s="741">
        <f>BAU!K24*1000</f>
        <v>15940.879836853026</v>
      </c>
      <c r="X51" s="741">
        <f>BAU!L24*1000</f>
        <v>16182.581159388728</v>
      </c>
      <c r="Y51" s="128"/>
      <c r="Z51" s="128" t="str">
        <f>BAU!N24</f>
        <v>Proportsionaalne kaubavedude kasvuga, rohkem veotonne tingib suurema hooldusvajaduse</v>
      </c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</row>
    <row r="52" spans="1:37">
      <c r="B52" s="227" t="str">
        <f>BAU!B25</f>
        <v>Rekonstrueerimine</v>
      </c>
      <c r="C52" s="700"/>
      <c r="D52" s="223"/>
      <c r="E52" s="458">
        <f>BAU!E25*1000</f>
        <v>2567.2499999999995</v>
      </c>
      <c r="F52" s="458">
        <f t="shared" si="46"/>
        <v>6567.25</v>
      </c>
      <c r="G52" s="458">
        <f t="shared" si="46"/>
        <v>10567.25</v>
      </c>
      <c r="H52" s="458">
        <f t="shared" si="46"/>
        <v>14567.25</v>
      </c>
      <c r="I52" s="458">
        <f t="shared" si="46"/>
        <v>18567.25</v>
      </c>
      <c r="J52" s="458">
        <f>BAU!F25*1000</f>
        <v>22567.25</v>
      </c>
      <c r="K52" s="458">
        <f t="shared" si="47"/>
        <v>22567.25</v>
      </c>
      <c r="L52" s="458">
        <f t="shared" si="47"/>
        <v>22567.25</v>
      </c>
      <c r="M52" s="458">
        <f t="shared" si="47"/>
        <v>22567.25</v>
      </c>
      <c r="N52" s="458">
        <f t="shared" si="47"/>
        <v>22567.25</v>
      </c>
      <c r="O52" s="458">
        <f>BAU!G25*1000</f>
        <v>22567.25</v>
      </c>
      <c r="P52" s="458">
        <f t="shared" si="45"/>
        <v>22567.25</v>
      </c>
      <c r="Q52" s="458">
        <f t="shared" si="45"/>
        <v>22567.25</v>
      </c>
      <c r="R52" s="458">
        <f t="shared" si="45"/>
        <v>22567.25</v>
      </c>
      <c r="S52" s="458">
        <f t="shared" si="45"/>
        <v>22567.25</v>
      </c>
      <c r="T52" s="458">
        <f>BAU!H25*1000</f>
        <v>22567.25</v>
      </c>
      <c r="U52" s="458">
        <f>BAU!I25*1000</f>
        <v>22567.25</v>
      </c>
      <c r="V52" s="741">
        <f>BAU!J25*1000</f>
        <v>22567.25</v>
      </c>
      <c r="W52" s="741">
        <f>BAU!K25*1000</f>
        <v>22567.25</v>
      </c>
      <c r="X52" s="741">
        <f>BAU!L25*1000</f>
        <v>22567.25</v>
      </c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</row>
    <row r="53" spans="1:37" customFormat="1" ht="12.75">
      <c r="A53">
        <v>22</v>
      </c>
      <c r="B53" s="804" t="s">
        <v>288</v>
      </c>
      <c r="C53" s="702">
        <v>1000</v>
      </c>
      <c r="D53" s="805"/>
      <c r="E53" s="819">
        <f>SUM(E54:E56)</f>
        <v>272407.98433333333</v>
      </c>
      <c r="F53" s="819">
        <f t="shared" ref="F53:T53" si="48">SUM(F54:F56)</f>
        <v>279525.07080799999</v>
      </c>
      <c r="G53" s="819">
        <f t="shared" si="48"/>
        <v>286642.15728266671</v>
      </c>
      <c r="H53" s="819">
        <f t="shared" si="48"/>
        <v>293759.24375733337</v>
      </c>
      <c r="I53" s="819">
        <f t="shared" si="48"/>
        <v>300876.33023200004</v>
      </c>
      <c r="J53" s="819">
        <f t="shared" si="48"/>
        <v>307993.4167066667</v>
      </c>
      <c r="K53" s="819">
        <f t="shared" si="48"/>
        <v>312696.31312266667</v>
      </c>
      <c r="L53" s="819">
        <f t="shared" si="48"/>
        <v>317399.20953866671</v>
      </c>
      <c r="M53" s="819">
        <f t="shared" si="48"/>
        <v>322102.10595466668</v>
      </c>
      <c r="N53" s="819">
        <f t="shared" si="48"/>
        <v>326805.00237066677</v>
      </c>
      <c r="O53" s="819">
        <f t="shared" si="48"/>
        <v>331507.89878666674</v>
      </c>
      <c r="P53" s="819">
        <f t="shared" si="48"/>
        <v>335215.71504266671</v>
      </c>
      <c r="Q53" s="819">
        <f t="shared" si="48"/>
        <v>338923.53129866673</v>
      </c>
      <c r="R53" s="819">
        <f t="shared" si="48"/>
        <v>342631.34755466675</v>
      </c>
      <c r="S53" s="819">
        <f t="shared" si="48"/>
        <v>346339.16381066677</v>
      </c>
      <c r="T53" s="819">
        <f t="shared" si="48"/>
        <v>350046.98006666673</v>
      </c>
      <c r="U53" s="819">
        <f>SUM(U54:U56)</f>
        <v>365443.59713333339</v>
      </c>
      <c r="V53" s="819">
        <f>SUM(V54:V56)</f>
        <v>378595.5352000001</v>
      </c>
      <c r="W53" s="819">
        <f>SUM(W54:W56)</f>
        <v>388256.70586666669</v>
      </c>
      <c r="X53" s="819">
        <f>SUM(X54:X56)</f>
        <v>397687.69533333339</v>
      </c>
      <c r="Y53" s="808"/>
    </row>
    <row r="54" spans="1:37" customFormat="1" ht="12.75">
      <c r="A54">
        <v>23</v>
      </c>
      <c r="B54" s="806" t="s">
        <v>289</v>
      </c>
      <c r="C54" s="807"/>
      <c r="D54" s="807"/>
      <c r="E54" s="458">
        <f>BAU!E27*1000</f>
        <v>21818.916000000001</v>
      </c>
      <c r="F54" s="458">
        <f t="shared" ref="F54:I56" si="49">$E54+($J54-$E54)/5*(F$4-$E$4)</f>
        <v>22152.879000000001</v>
      </c>
      <c r="G54" s="458">
        <f t="shared" si="49"/>
        <v>22486.842000000001</v>
      </c>
      <c r="H54" s="458">
        <f t="shared" si="49"/>
        <v>22820.805</v>
      </c>
      <c r="I54" s="458">
        <f t="shared" si="49"/>
        <v>23154.768</v>
      </c>
      <c r="J54" s="458">
        <f>BAU!F27*1000</f>
        <v>23488.731</v>
      </c>
      <c r="K54" s="458">
        <f t="shared" ref="K54:N56" si="50">$J54+($O54-$J54)/5*(K$4-$J$4)</f>
        <v>24045.335999999999</v>
      </c>
      <c r="L54" s="458">
        <f t="shared" si="50"/>
        <v>24601.940999999999</v>
      </c>
      <c r="M54" s="458">
        <f t="shared" si="50"/>
        <v>25158.546000000002</v>
      </c>
      <c r="N54" s="458">
        <f t="shared" si="50"/>
        <v>25715.151000000002</v>
      </c>
      <c r="O54" s="458">
        <f>BAU!G27*1000</f>
        <v>26271.756000000001</v>
      </c>
      <c r="P54" s="458">
        <f t="shared" ref="P54:S56" si="51">$O54+($T54-$O54)/5*(P$4-$O$4)</f>
        <v>26605.719000000001</v>
      </c>
      <c r="Q54" s="458">
        <f t="shared" si="51"/>
        <v>26939.682000000001</v>
      </c>
      <c r="R54" s="458">
        <f t="shared" si="51"/>
        <v>27273.645</v>
      </c>
      <c r="S54" s="458">
        <f t="shared" si="51"/>
        <v>27607.608</v>
      </c>
      <c r="T54" s="458">
        <f>BAU!H27*1000</f>
        <v>27941.571</v>
      </c>
      <c r="U54" s="458">
        <f>BAU!I27*1000</f>
        <v>30167.991000000002</v>
      </c>
      <c r="V54" s="741">
        <f>BAU!J27*1000</f>
        <v>31169.879999999997</v>
      </c>
      <c r="W54" s="741">
        <f>BAU!K27*1000</f>
        <v>31169.879999999997</v>
      </c>
      <c r="X54" s="741">
        <f>BAU!L27*1000</f>
        <v>31169.879999999997</v>
      </c>
      <c r="Y54" s="808"/>
    </row>
    <row r="55" spans="1:37" customFormat="1" ht="12.75">
      <c r="A55">
        <v>24</v>
      </c>
      <c r="B55" s="806" t="s">
        <v>290</v>
      </c>
      <c r="C55" s="807"/>
      <c r="D55" s="807"/>
      <c r="E55" s="458">
        <f>BAU!E28*1000</f>
        <v>250480.49600000001</v>
      </c>
      <c r="F55" s="458">
        <f t="shared" si="49"/>
        <v>257258.70800000001</v>
      </c>
      <c r="G55" s="458">
        <f t="shared" si="49"/>
        <v>264036.92000000004</v>
      </c>
      <c r="H55" s="458">
        <f t="shared" si="49"/>
        <v>270815.13200000004</v>
      </c>
      <c r="I55" s="458">
        <f t="shared" si="49"/>
        <v>277593.34400000004</v>
      </c>
      <c r="J55" s="458">
        <f>BAU!F28*1000</f>
        <v>284371.55600000004</v>
      </c>
      <c r="K55" s="458">
        <f t="shared" si="50"/>
        <v>288379.11200000002</v>
      </c>
      <c r="L55" s="458">
        <f t="shared" si="50"/>
        <v>292386.66800000006</v>
      </c>
      <c r="M55" s="458">
        <f t="shared" si="50"/>
        <v>296394.22400000005</v>
      </c>
      <c r="N55" s="458">
        <f t="shared" si="50"/>
        <v>300401.78000000009</v>
      </c>
      <c r="O55" s="458">
        <f>BAU!G28*1000</f>
        <v>304409.33600000007</v>
      </c>
      <c r="P55" s="458">
        <f t="shared" si="51"/>
        <v>307625.27600000007</v>
      </c>
      <c r="Q55" s="458">
        <f t="shared" si="51"/>
        <v>310841.21600000007</v>
      </c>
      <c r="R55" s="458">
        <f t="shared" si="51"/>
        <v>314057.15600000008</v>
      </c>
      <c r="S55" s="458">
        <f t="shared" si="51"/>
        <v>317273.09600000008</v>
      </c>
      <c r="T55" s="458">
        <f>BAU!H28*1000</f>
        <v>320489.03600000008</v>
      </c>
      <c r="U55" s="458">
        <f>BAU!I28*1000</f>
        <v>331868.51600000006</v>
      </c>
      <c r="V55" s="741">
        <f>BAU!J28*1000</f>
        <v>342110.04800000007</v>
      </c>
      <c r="W55" s="741">
        <f>BAU!K28*1000</f>
        <v>349778.82800000004</v>
      </c>
      <c r="X55" s="741">
        <f>BAU!L28*1000</f>
        <v>357200.22800000006</v>
      </c>
      <c r="Y55" s="808"/>
    </row>
    <row r="56" spans="1:37" customFormat="1" ht="12.75">
      <c r="A56">
        <v>25</v>
      </c>
      <c r="B56" s="806" t="s">
        <v>291</v>
      </c>
      <c r="C56" s="807"/>
      <c r="D56" s="807"/>
      <c r="E56" s="458">
        <f>BAU!E29*1000</f>
        <v>108.57233333333335</v>
      </c>
      <c r="F56" s="458">
        <f t="shared" si="49"/>
        <v>113.48380800000001</v>
      </c>
      <c r="G56" s="458">
        <f t="shared" si="49"/>
        <v>118.39528266666667</v>
      </c>
      <c r="H56" s="458">
        <f t="shared" si="49"/>
        <v>123.30675733333334</v>
      </c>
      <c r="I56" s="458">
        <f t="shared" si="49"/>
        <v>128.218232</v>
      </c>
      <c r="J56" s="458">
        <f>BAU!F29*1000</f>
        <v>133.12970666666666</v>
      </c>
      <c r="K56" s="458">
        <f t="shared" si="50"/>
        <v>271.86512266666665</v>
      </c>
      <c r="L56" s="458">
        <f t="shared" si="50"/>
        <v>410.60053866666664</v>
      </c>
      <c r="M56" s="458">
        <f t="shared" si="50"/>
        <v>549.33595466666657</v>
      </c>
      <c r="N56" s="458">
        <f t="shared" si="50"/>
        <v>688.07137066666655</v>
      </c>
      <c r="O56" s="458">
        <f>BAU!G29*1000</f>
        <v>826.80678666666665</v>
      </c>
      <c r="P56" s="458">
        <f t="shared" si="51"/>
        <v>984.7200426666667</v>
      </c>
      <c r="Q56" s="458">
        <f t="shared" si="51"/>
        <v>1142.6332986666669</v>
      </c>
      <c r="R56" s="458">
        <f t="shared" si="51"/>
        <v>1300.5465546666669</v>
      </c>
      <c r="S56" s="458">
        <f t="shared" si="51"/>
        <v>1458.459810666667</v>
      </c>
      <c r="T56" s="458">
        <f>BAU!H29*1000</f>
        <v>1616.373066666667</v>
      </c>
      <c r="U56" s="458">
        <f>BAU!I29*1000</f>
        <v>3407.0901333333341</v>
      </c>
      <c r="V56" s="741">
        <f>BAU!J29*1000</f>
        <v>5315.6072000000013</v>
      </c>
      <c r="W56" s="741">
        <f>BAU!K29*1000</f>
        <v>7307.9978666666684</v>
      </c>
      <c r="X56" s="741">
        <f>BAU!L29*1000</f>
        <v>9317.5873333333366</v>
      </c>
      <c r="Y56" s="808"/>
    </row>
    <row r="57" spans="1:37">
      <c r="B57" s="213" t="str">
        <f>BAU!B30</f>
        <v>Dotatsioon</v>
      </c>
      <c r="C57" s="702">
        <v>1000</v>
      </c>
      <c r="D57" s="213"/>
      <c r="E57" s="456">
        <f>SUM(E58:E60)</f>
        <v>80697.777436650402</v>
      </c>
      <c r="F57" s="456">
        <f t="shared" ref="F57:X57" si="52">SUM(F58:F60)</f>
        <v>82636.614585340882</v>
      </c>
      <c r="G57" s="456">
        <f t="shared" si="52"/>
        <v>84575.451734031347</v>
      </c>
      <c r="H57" s="456">
        <f t="shared" si="52"/>
        <v>86514.288882721827</v>
      </c>
      <c r="I57" s="456">
        <f t="shared" si="52"/>
        <v>88453.126031412306</v>
      </c>
      <c r="J57" s="456">
        <f t="shared" si="52"/>
        <v>90391.963180102772</v>
      </c>
      <c r="K57" s="456">
        <f t="shared" si="52"/>
        <v>90248.455024174647</v>
      </c>
      <c r="L57" s="456">
        <f t="shared" si="52"/>
        <v>90104.946868246538</v>
      </c>
      <c r="M57" s="456">
        <f t="shared" si="52"/>
        <v>89961.438712318428</v>
      </c>
      <c r="N57" s="456">
        <f t="shared" si="52"/>
        <v>89817.930556390304</v>
      </c>
      <c r="O57" s="456">
        <f t="shared" si="52"/>
        <v>89674.422400462179</v>
      </c>
      <c r="P57" s="456">
        <f t="shared" si="52"/>
        <v>89205.005920590775</v>
      </c>
      <c r="Q57" s="456">
        <f t="shared" si="52"/>
        <v>88735.58944071937</v>
      </c>
      <c r="R57" s="456">
        <f t="shared" si="52"/>
        <v>88266.172960847951</v>
      </c>
      <c r="S57" s="456">
        <f t="shared" si="52"/>
        <v>87796.756480976532</v>
      </c>
      <c r="T57" s="456">
        <f t="shared" si="52"/>
        <v>87327.340001105127</v>
      </c>
      <c r="U57" s="456">
        <f t="shared" si="52"/>
        <v>85427.773612139659</v>
      </c>
      <c r="V57" s="456">
        <f t="shared" si="52"/>
        <v>84381.662692585727</v>
      </c>
      <c r="W57" s="456">
        <f t="shared" si="52"/>
        <v>84119.718263376155</v>
      </c>
      <c r="X57" s="456">
        <f t="shared" si="52"/>
        <v>84604.209284828103</v>
      </c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</row>
    <row r="58" spans="1:37">
      <c r="B58" s="240" t="str">
        <f>BAU!B31</f>
        <v>Raudtee</v>
      </c>
      <c r="C58" s="700"/>
      <c r="D58" s="223"/>
      <c r="E58" s="460">
        <f>BAU!E31*1000</f>
        <v>16808.271672135474</v>
      </c>
      <c r="F58" s="458">
        <f t="shared" ref="F58:I60" si="53">$E58+($J58-$E58)/5*(F$4-$E$4)</f>
        <v>17618.554099866968</v>
      </c>
      <c r="G58" s="458">
        <f t="shared" si="53"/>
        <v>18428.836527598462</v>
      </c>
      <c r="H58" s="458">
        <f t="shared" si="53"/>
        <v>19239.118955329955</v>
      </c>
      <c r="I58" s="458">
        <f t="shared" si="53"/>
        <v>20049.401383061453</v>
      </c>
      <c r="J58" s="460">
        <f>BAU!F31*1000</f>
        <v>20859.683810792947</v>
      </c>
      <c r="K58" s="458">
        <f t="shared" ref="K58:N60" si="54">$J58+($O58-$J58)/5*(K$4-$J$4)</f>
        <v>21058.98525438696</v>
      </c>
      <c r="L58" s="458">
        <f t="shared" si="54"/>
        <v>21258.28669798097</v>
      </c>
      <c r="M58" s="458">
        <f t="shared" si="54"/>
        <v>21457.588141574983</v>
      </c>
      <c r="N58" s="458">
        <f t="shared" si="54"/>
        <v>21656.889585168992</v>
      </c>
      <c r="O58" s="460">
        <f>BAU!G31*1000</f>
        <v>21856.191028763005</v>
      </c>
      <c r="P58" s="458">
        <f t="shared" ref="P58:S60" si="55">$O58+($T58-$O58)/5*(P$4-$O$4)</f>
        <v>22055.492472357018</v>
      </c>
      <c r="Q58" s="458">
        <f t="shared" si="55"/>
        <v>22254.793915951028</v>
      </c>
      <c r="R58" s="458">
        <f t="shared" si="55"/>
        <v>22454.095359545041</v>
      </c>
      <c r="S58" s="458">
        <f t="shared" si="55"/>
        <v>22653.39680313905</v>
      </c>
      <c r="T58" s="460">
        <f>BAU!H31*1000</f>
        <v>22852.698246733064</v>
      </c>
      <c r="U58" s="460">
        <f>BAU!I31*1000</f>
        <v>23337.189268185033</v>
      </c>
      <c r="V58" s="744">
        <f>BAU!J31*1000</f>
        <v>23821.680289636995</v>
      </c>
      <c r="W58" s="744">
        <f>BAU!K31*1000</f>
        <v>24306.171311088958</v>
      </c>
      <c r="X58" s="744">
        <f>BAU!L31*1000</f>
        <v>24790.662332540913</v>
      </c>
      <c r="Y58" s="128"/>
      <c r="Z58" s="128" t="str">
        <f>BAU!N31</f>
        <v>Proportsionaalne reisijateveo muutusega jättes kasvust välja Rail Balticu mahu, mis ei ole doteeritav</v>
      </c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</row>
    <row r="59" spans="1:37">
      <c r="B59" s="240" t="str">
        <f>BAU!B32</f>
        <v>Ühistransport riik</v>
      </c>
      <c r="C59" s="700"/>
      <c r="D59" s="223"/>
      <c r="E59" s="460">
        <f>BAU!E32*1000</f>
        <v>19609.650284158048</v>
      </c>
      <c r="F59" s="458">
        <f t="shared" si="53"/>
        <v>20902.641180024675</v>
      </c>
      <c r="G59" s="458">
        <f t="shared" si="53"/>
        <v>22195.632075891303</v>
      </c>
      <c r="H59" s="458">
        <f t="shared" si="53"/>
        <v>23488.62297175793</v>
      </c>
      <c r="I59" s="458">
        <f t="shared" si="53"/>
        <v>24781.613867624557</v>
      </c>
      <c r="J59" s="460">
        <f>BAU!F32*1000</f>
        <v>26074.604763491185</v>
      </c>
      <c r="K59" s="458">
        <f t="shared" si="54"/>
        <v>25946.051163670385</v>
      </c>
      <c r="L59" s="458">
        <f t="shared" si="54"/>
        <v>25817.497563849589</v>
      </c>
      <c r="M59" s="458">
        <f t="shared" si="54"/>
        <v>25688.943964028789</v>
      </c>
      <c r="N59" s="458">
        <f t="shared" si="54"/>
        <v>25560.390364207993</v>
      </c>
      <c r="O59" s="460">
        <f>BAU!G32*1000</f>
        <v>25431.836764387193</v>
      </c>
      <c r="P59" s="458">
        <f t="shared" si="55"/>
        <v>25181.067543087658</v>
      </c>
      <c r="Q59" s="458">
        <f t="shared" si="55"/>
        <v>24930.298321788126</v>
      </c>
      <c r="R59" s="458">
        <f t="shared" si="55"/>
        <v>24679.529100488591</v>
      </c>
      <c r="S59" s="458">
        <f t="shared" si="55"/>
        <v>24428.75987918906</v>
      </c>
      <c r="T59" s="460">
        <f>BAU!H32*1000</f>
        <v>24177.990657889524</v>
      </c>
      <c r="U59" s="460">
        <f>BAU!I32*1000</f>
        <v>23283.96912898299</v>
      </c>
      <c r="V59" s="744">
        <f>BAU!J32*1000</f>
        <v>22709.993401105778</v>
      </c>
      <c r="W59" s="744">
        <f>BAU!K32*1000</f>
        <v>22430.0801071077</v>
      </c>
      <c r="X59" s="744">
        <f>BAU!L32*1000</f>
        <v>22430.0801071077</v>
      </c>
      <c r="Y59" s="128"/>
      <c r="Z59" s="128" t="str">
        <f>BAU!N32</f>
        <v>Proportsionaalne reisijateveo muutusega</v>
      </c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</row>
    <row r="60" spans="1:37">
      <c r="B60" s="241" t="str">
        <f>BAU!B33</f>
        <v>Ühistransport KOV</v>
      </c>
      <c r="C60" s="700"/>
      <c r="D60" s="223"/>
      <c r="E60" s="458">
        <f>BAU!E33*1000</f>
        <v>44279.855480356884</v>
      </c>
      <c r="F60" s="458">
        <f t="shared" si="53"/>
        <v>44115.419305449235</v>
      </c>
      <c r="G60" s="458">
        <f t="shared" si="53"/>
        <v>43950.983130541586</v>
      </c>
      <c r="H60" s="458">
        <f t="shared" si="53"/>
        <v>43786.546955633938</v>
      </c>
      <c r="I60" s="458">
        <f t="shared" si="53"/>
        <v>43622.110780726289</v>
      </c>
      <c r="J60" s="458">
        <f>BAU!F33*1000</f>
        <v>43457.67460581864</v>
      </c>
      <c r="K60" s="458">
        <f t="shared" si="54"/>
        <v>43243.41860611731</v>
      </c>
      <c r="L60" s="458">
        <f t="shared" si="54"/>
        <v>43029.162606415979</v>
      </c>
      <c r="M60" s="458">
        <f t="shared" si="54"/>
        <v>42814.906606714649</v>
      </c>
      <c r="N60" s="458">
        <f t="shared" si="54"/>
        <v>42600.650607013318</v>
      </c>
      <c r="O60" s="458">
        <f>BAU!G33*1000</f>
        <v>42386.394607311988</v>
      </c>
      <c r="P60" s="458">
        <f t="shared" si="55"/>
        <v>41968.445905146094</v>
      </c>
      <c r="Q60" s="458">
        <f t="shared" si="55"/>
        <v>41550.497202980208</v>
      </c>
      <c r="R60" s="458">
        <f t="shared" si="55"/>
        <v>41132.548500814315</v>
      </c>
      <c r="S60" s="458">
        <f t="shared" si="55"/>
        <v>40714.599798648429</v>
      </c>
      <c r="T60" s="458">
        <f>BAU!H33*1000</f>
        <v>40296.651096482536</v>
      </c>
      <c r="U60" s="458">
        <f>BAU!I33*1000</f>
        <v>38806.615214971644</v>
      </c>
      <c r="V60" s="741">
        <f>BAU!J33*1000</f>
        <v>37849.989001842958</v>
      </c>
      <c r="W60" s="741">
        <f>BAU!K33*1000</f>
        <v>37383.466845179493</v>
      </c>
      <c r="X60" s="741">
        <f>BAU!L33*1000</f>
        <v>37383.466845179493</v>
      </c>
      <c r="Y60" s="128"/>
      <c r="Z60" s="128" t="str">
        <f>BAU!N33</f>
        <v>Proportsionaalne reisijateveo muutusega alates 2035</v>
      </c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</row>
    <row r="61" spans="1:37" ht="45" customHeight="1">
      <c r="B61" s="470" t="s">
        <v>200</v>
      </c>
      <c r="C61" s="703">
        <v>1000</v>
      </c>
      <c r="D61" s="431"/>
      <c r="E61" s="473">
        <f>E33+E37+E46+E49+E57</f>
        <v>403607.15017049748</v>
      </c>
      <c r="F61" s="473">
        <f t="shared" ref="F61:X61" si="56">F33+F37+F46+F49+F57</f>
        <v>409825.89285996062</v>
      </c>
      <c r="G61" s="473">
        <f t="shared" si="56"/>
        <v>416044.63554942363</v>
      </c>
      <c r="H61" s="473">
        <f t="shared" si="56"/>
        <v>422263.37823888683</v>
      </c>
      <c r="I61" s="473">
        <f t="shared" si="56"/>
        <v>428482.1209283499</v>
      </c>
      <c r="J61" s="473">
        <f t="shared" si="56"/>
        <v>434700.86361781304</v>
      </c>
      <c r="K61" s="473">
        <f t="shared" si="56"/>
        <v>440570.75670023391</v>
      </c>
      <c r="L61" s="473">
        <f t="shared" si="56"/>
        <v>446440.64978265477</v>
      </c>
      <c r="M61" s="473">
        <f t="shared" si="56"/>
        <v>452310.54286507558</v>
      </c>
      <c r="N61" s="473">
        <f t="shared" si="56"/>
        <v>458180.43594749633</v>
      </c>
      <c r="O61" s="473">
        <f>O33+O37+O46+O49+O57</f>
        <v>493350.32902991725</v>
      </c>
      <c r="P61" s="473">
        <f t="shared" si="56"/>
        <v>498903.80792664149</v>
      </c>
      <c r="Q61" s="473">
        <f t="shared" si="56"/>
        <v>504457.28682336584</v>
      </c>
      <c r="R61" s="473">
        <f t="shared" si="56"/>
        <v>510010.76572009019</v>
      </c>
      <c r="S61" s="473">
        <f t="shared" si="56"/>
        <v>515564.24461681454</v>
      </c>
      <c r="T61" s="473">
        <f t="shared" si="56"/>
        <v>521117.72351353883</v>
      </c>
      <c r="U61" s="473">
        <f t="shared" si="56"/>
        <v>527064.38962505769</v>
      </c>
      <c r="V61" s="473">
        <f t="shared" si="56"/>
        <v>533864.511205988</v>
      </c>
      <c r="W61" s="473">
        <f t="shared" si="56"/>
        <v>541448.79927726276</v>
      </c>
      <c r="X61" s="473">
        <f t="shared" si="56"/>
        <v>549779.5227991991</v>
      </c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</row>
    <row r="62" spans="1:37">
      <c r="B62" s="971" t="s">
        <v>477</v>
      </c>
      <c r="E62" s="157">
        <f>E40+E53</f>
        <v>928182.90741025645</v>
      </c>
      <c r="F62" s="157">
        <f t="shared" ref="F62:X62" si="57">F40+F53</f>
        <v>931968.26311569242</v>
      </c>
      <c r="G62" s="157">
        <f t="shared" si="57"/>
        <v>935753.61882112827</v>
      </c>
      <c r="H62" s="157">
        <f t="shared" si="57"/>
        <v>939538.97452656412</v>
      </c>
      <c r="I62" s="157">
        <f t="shared" si="57"/>
        <v>943324.33023199998</v>
      </c>
      <c r="J62" s="157">
        <f t="shared" si="57"/>
        <v>947109.68593743595</v>
      </c>
      <c r="K62" s="157">
        <f t="shared" si="57"/>
        <v>958028.40773805126</v>
      </c>
      <c r="L62" s="157">
        <f t="shared" si="57"/>
        <v>968947.12953866669</v>
      </c>
      <c r="M62" s="157">
        <f t="shared" si="57"/>
        <v>979865.851339282</v>
      </c>
      <c r="N62" s="157">
        <f t="shared" si="57"/>
        <v>990784.57313989755</v>
      </c>
      <c r="O62" s="157">
        <f t="shared" si="57"/>
        <v>1001703.2949405129</v>
      </c>
      <c r="P62" s="157">
        <f t="shared" si="57"/>
        <v>1006925.0304272822</v>
      </c>
      <c r="Q62" s="157">
        <f t="shared" si="57"/>
        <v>1012146.7659140513</v>
      </c>
      <c r="R62" s="157">
        <f t="shared" si="57"/>
        <v>1017368.5014008207</v>
      </c>
      <c r="S62" s="157">
        <f t="shared" si="57"/>
        <v>1022590.2368875898</v>
      </c>
      <c r="T62" s="157">
        <f t="shared" si="57"/>
        <v>1027811.972374359</v>
      </c>
      <c r="U62" s="157">
        <f t="shared" si="57"/>
        <v>1065194.1676461538</v>
      </c>
      <c r="V62" s="157">
        <f t="shared" si="57"/>
        <v>1073544.1634051283</v>
      </c>
      <c r="W62" s="157">
        <f t="shared" si="57"/>
        <v>1073794.834071795</v>
      </c>
      <c r="X62" s="157">
        <f t="shared" si="57"/>
        <v>1083510.8235384617</v>
      </c>
    </row>
    <row r="63" spans="1:37">
      <c r="B63" s="455" t="str">
        <f>B29</f>
        <v>Aktsiis ja transpordimaksud kokku</v>
      </c>
      <c r="C63" s="709"/>
      <c r="D63" s="455"/>
      <c r="E63" s="474">
        <f>E29</f>
        <v>409018.18092902761</v>
      </c>
      <c r="F63" s="474"/>
      <c r="G63" s="474"/>
      <c r="H63" s="474"/>
      <c r="I63" s="474"/>
      <c r="J63" s="474">
        <f>J29</f>
        <v>464494.37197453133</v>
      </c>
      <c r="K63" s="474"/>
      <c r="L63" s="474"/>
      <c r="M63" s="474"/>
      <c r="N63" s="474"/>
      <c r="O63" s="474">
        <f>O29</f>
        <v>505959.08440945088</v>
      </c>
      <c r="P63" s="474"/>
      <c r="Q63" s="474"/>
      <c r="R63" s="474"/>
      <c r="S63" s="474"/>
      <c r="T63" s="474">
        <f>T29</f>
        <v>547423.79684437043</v>
      </c>
      <c r="U63" s="474">
        <f>U29</f>
        <v>520847.58790064236</v>
      </c>
      <c r="V63" s="745">
        <f>V29</f>
        <v>494271.3789569143</v>
      </c>
      <c r="W63" s="745">
        <f>W29</f>
        <v>480983.27448505023</v>
      </c>
      <c r="X63" s="745">
        <f>X29</f>
        <v>441118.96106945816</v>
      </c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</row>
    <row r="64" spans="1:37">
      <c r="B64" s="128"/>
      <c r="C64" s="690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746"/>
      <c r="W64" s="746"/>
      <c r="X64" s="746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</row>
    <row r="65" spans="2:24">
      <c r="B65" s="128"/>
      <c r="C65" s="690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746"/>
      <c r="W65" s="746"/>
      <c r="X65" s="746"/>
    </row>
    <row r="66" spans="2:24" s="432" customFormat="1">
      <c r="B66" s="824" t="s">
        <v>316</v>
      </c>
      <c r="C66" s="825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826"/>
      <c r="W66" s="826"/>
      <c r="X66" s="826"/>
    </row>
    <row r="67" spans="2:24">
      <c r="B67" s="128" t="s">
        <v>313</v>
      </c>
      <c r="C67" s="690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746"/>
      <c r="W67" s="746"/>
      <c r="X67" s="746"/>
    </row>
    <row r="68" spans="2:24">
      <c r="B68" s="827" t="s">
        <v>314</v>
      </c>
      <c r="C68" s="706"/>
      <c r="D68" s="827"/>
      <c r="E68" s="827"/>
      <c r="F68" s="827"/>
      <c r="G68" s="827"/>
      <c r="H68" s="827"/>
      <c r="I68" s="827"/>
      <c r="J68" s="828">
        <f>VS_TAK!J68</f>
        <v>18720</v>
      </c>
      <c r="K68" s="458">
        <f t="shared" ref="K68:N69" si="58">$J68+($O68-$J68)/5*(K$4-$J$4)</f>
        <v>22968</v>
      </c>
      <c r="L68" s="458">
        <f t="shared" si="58"/>
        <v>27215.999999999996</v>
      </c>
      <c r="M68" s="458">
        <f t="shared" si="58"/>
        <v>31463.999999999993</v>
      </c>
      <c r="N68" s="458">
        <f t="shared" si="58"/>
        <v>35711.999999999993</v>
      </c>
      <c r="O68" s="828">
        <f>VS_TAK!O68</f>
        <v>39959.999999999993</v>
      </c>
      <c r="P68" s="458">
        <f t="shared" ref="P68:S69" si="59">$O68+($T68-$O68)/5*(P$4-$O$4)</f>
        <v>44207.999999999993</v>
      </c>
      <c r="Q68" s="458">
        <f t="shared" si="59"/>
        <v>48455.999999999993</v>
      </c>
      <c r="R68" s="458">
        <f t="shared" si="59"/>
        <v>52703.999999999993</v>
      </c>
      <c r="S68" s="458">
        <f t="shared" si="59"/>
        <v>56951.999999999993</v>
      </c>
      <c r="T68" s="828">
        <f>VS_TAK!T68</f>
        <v>61199.999999999993</v>
      </c>
      <c r="U68" s="828">
        <f>VS_TAK!U68</f>
        <v>101751.30462934884</v>
      </c>
      <c r="V68" s="828">
        <f>VS_TAK!V68</f>
        <v>142302.60925869769</v>
      </c>
      <c r="W68" s="828">
        <f>VS_TAK!W68</f>
        <v>182853.91388804658</v>
      </c>
      <c r="X68" s="828">
        <f>VS_TAK!X68</f>
        <v>223405.21851739538</v>
      </c>
    </row>
    <row r="69" spans="2:24">
      <c r="B69" s="827" t="s">
        <v>315</v>
      </c>
      <c r="C69" s="706"/>
      <c r="D69" s="827"/>
      <c r="E69" s="135"/>
      <c r="F69" s="135"/>
      <c r="G69" s="135"/>
      <c r="H69" s="135"/>
      <c r="I69" s="135"/>
      <c r="J69" s="828">
        <f>TransportEE!J68</f>
        <v>34421.274221411193</v>
      </c>
      <c r="K69" s="458">
        <f t="shared" si="58"/>
        <v>49213.520689400109</v>
      </c>
      <c r="L69" s="458">
        <f t="shared" si="58"/>
        <v>64005.767157389026</v>
      </c>
      <c r="M69" s="458">
        <f t="shared" si="58"/>
        <v>78798.013625377935</v>
      </c>
      <c r="N69" s="458">
        <f t="shared" si="58"/>
        <v>93590.260093366844</v>
      </c>
      <c r="O69" s="828">
        <f>TransportEE!O68</f>
        <v>108382.50656135577</v>
      </c>
      <c r="P69" s="458">
        <f t="shared" si="59"/>
        <v>123174.75302934468</v>
      </c>
      <c r="Q69" s="458">
        <f t="shared" si="59"/>
        <v>137966.9994973336</v>
      </c>
      <c r="R69" s="458">
        <f t="shared" si="59"/>
        <v>152759.24596532251</v>
      </c>
      <c r="S69" s="458">
        <f t="shared" si="59"/>
        <v>167551.49243331142</v>
      </c>
      <c r="T69" s="828">
        <f>TransportEE!T68</f>
        <v>182343.73890130033</v>
      </c>
      <c r="U69" s="828">
        <f>TransportEE!U68</f>
        <v>271681.18975507043</v>
      </c>
      <c r="V69" s="828">
        <f>TransportEE!V68</f>
        <v>361018.64060884045</v>
      </c>
      <c r="W69" s="828">
        <f>TransportEE!W68</f>
        <v>450356.09146261052</v>
      </c>
      <c r="X69" s="828">
        <f>TransportEE!X68</f>
        <v>539693.54231638054</v>
      </c>
    </row>
    <row r="70" spans="2:24">
      <c r="B70" s="128" t="s">
        <v>403</v>
      </c>
      <c r="C70" s="690"/>
      <c r="D70" s="128"/>
      <c r="E70" s="155">
        <f>E14*CO2valiskulu!$D$5/1000</f>
        <v>59866.166948275415</v>
      </c>
      <c r="F70" s="155">
        <f>F14*CO2valiskulu!$D$5/1000</f>
        <v>61162.469832992007</v>
      </c>
      <c r="G70" s="155">
        <f>G14*CO2valiskulu!$D$5/1000</f>
        <v>62458.77271770862</v>
      </c>
      <c r="H70" s="155">
        <f>H14*CO2valiskulu!$D$5/1000</f>
        <v>63755.075602425219</v>
      </c>
      <c r="I70" s="155">
        <f>I14*CO2valiskulu!$D$5/1000</f>
        <v>65051.378487141817</v>
      </c>
      <c r="J70" s="155">
        <f>J14*CO2valiskulu!$D$6/1000</f>
        <v>106156.29019497347</v>
      </c>
      <c r="K70" s="155">
        <f>K14*CO2valiskulu!$D$6/1000</f>
        <v>107457.94990472996</v>
      </c>
      <c r="L70" s="155">
        <f>L14*CO2valiskulu!$D$6/1000</f>
        <v>108759.60961448647</v>
      </c>
      <c r="M70" s="155">
        <f>M14*CO2valiskulu!$D$6/1000</f>
        <v>110061.269324243</v>
      </c>
      <c r="N70" s="155">
        <f>N14*CO2valiskulu!$D$6/1000</f>
        <v>111362.92903399951</v>
      </c>
      <c r="O70" s="155">
        <f>O14*CO2valiskulu!$D$6/1000</f>
        <v>112664.588743756</v>
      </c>
      <c r="P70" s="155">
        <f>P14*CO2valiskulu!$D$6/1000</f>
        <v>114829.5371581525</v>
      </c>
      <c r="Q70" s="155">
        <f>Q14*CO2valiskulu!$D$6/1000</f>
        <v>116994.48557254898</v>
      </c>
      <c r="R70" s="155">
        <f>R14*CO2valiskulu!$D$6/1000</f>
        <v>119159.43398694547</v>
      </c>
      <c r="S70" s="155">
        <f>S14*CO2valiskulu!$D$6/1000</f>
        <v>121324.38240134195</v>
      </c>
      <c r="T70" s="155">
        <f>T14*CO2valiskulu!D7/1000</f>
        <v>169797.82987164037</v>
      </c>
      <c r="U70" s="155"/>
      <c r="V70" s="729">
        <f>V14*CO2valiskulu!D8/1000</f>
        <v>195225.45321917834</v>
      </c>
      <c r="W70" s="729"/>
      <c r="X70" s="729">
        <f>X14*CO2valiskulu!D9/1000</f>
        <v>211704.12983456039</v>
      </c>
    </row>
    <row r="71" spans="2:24" ht="24.75" customHeight="1">
      <c r="B71" s="950" t="s">
        <v>485</v>
      </c>
      <c r="C71" s="690"/>
      <c r="D71" s="128"/>
      <c r="E71" s="128"/>
      <c r="F71" s="128"/>
      <c r="G71" s="128"/>
      <c r="H71" s="128"/>
      <c r="I71" s="128"/>
      <c r="J71" s="455">
        <f>J69</f>
        <v>34421.274221411193</v>
      </c>
      <c r="K71" s="455">
        <f t="shared" ref="K71:T71" si="60">K69</f>
        <v>49213.520689400109</v>
      </c>
      <c r="L71" s="455">
        <f t="shared" si="60"/>
        <v>64005.767157389026</v>
      </c>
      <c r="M71" s="455">
        <f t="shared" si="60"/>
        <v>78798.013625377935</v>
      </c>
      <c r="N71" s="455">
        <f t="shared" si="60"/>
        <v>93590.260093366844</v>
      </c>
      <c r="O71" s="455">
        <f t="shared" si="60"/>
        <v>108382.50656135577</v>
      </c>
      <c r="P71" s="455">
        <f t="shared" si="60"/>
        <v>123174.75302934468</v>
      </c>
      <c r="Q71" s="455">
        <f t="shared" si="60"/>
        <v>137966.9994973336</v>
      </c>
      <c r="R71" s="455">
        <f t="shared" si="60"/>
        <v>152759.24596532251</v>
      </c>
      <c r="S71" s="455">
        <f t="shared" si="60"/>
        <v>167551.49243331142</v>
      </c>
      <c r="T71" s="455">
        <f t="shared" si="60"/>
        <v>182343.73890130033</v>
      </c>
      <c r="U71" s="128"/>
      <c r="V71" s="746"/>
      <c r="W71" s="746"/>
      <c r="X71" s="746"/>
    </row>
    <row r="72" spans="2:24">
      <c r="B72" s="128" t="s">
        <v>454</v>
      </c>
      <c r="C72" s="690"/>
      <c r="D72" s="128"/>
      <c r="E72" s="455">
        <f>SUM(E70:E71)</f>
        <v>59866.166948275415</v>
      </c>
      <c r="F72" s="455">
        <f t="shared" ref="F72:T72" si="61">SUM(F70:F71)</f>
        <v>61162.469832992007</v>
      </c>
      <c r="G72" s="455">
        <f t="shared" si="61"/>
        <v>62458.77271770862</v>
      </c>
      <c r="H72" s="455">
        <f t="shared" si="61"/>
        <v>63755.075602425219</v>
      </c>
      <c r="I72" s="455">
        <f t="shared" si="61"/>
        <v>65051.378487141817</v>
      </c>
      <c r="J72" s="455">
        <f t="shared" si="61"/>
        <v>140577.56441638467</v>
      </c>
      <c r="K72" s="455">
        <f t="shared" si="61"/>
        <v>156671.47059413008</v>
      </c>
      <c r="L72" s="455">
        <f t="shared" si="61"/>
        <v>172765.37677187548</v>
      </c>
      <c r="M72" s="455">
        <f t="shared" si="61"/>
        <v>188859.28294962092</v>
      </c>
      <c r="N72" s="455">
        <f t="shared" si="61"/>
        <v>204953.18912736635</v>
      </c>
      <c r="O72" s="455">
        <f t="shared" si="61"/>
        <v>221047.09530511178</v>
      </c>
      <c r="P72" s="455">
        <f t="shared" si="61"/>
        <v>238004.29018749716</v>
      </c>
      <c r="Q72" s="455">
        <f t="shared" si="61"/>
        <v>254961.48506988259</v>
      </c>
      <c r="R72" s="455">
        <f t="shared" si="61"/>
        <v>271918.67995226796</v>
      </c>
      <c r="S72" s="455">
        <f t="shared" si="61"/>
        <v>288875.87483465334</v>
      </c>
      <c r="T72" s="455">
        <f t="shared" si="61"/>
        <v>352141.56877294066</v>
      </c>
      <c r="U72" s="128"/>
      <c r="V72" s="746"/>
      <c r="W72" s="746"/>
      <c r="X72" s="746"/>
    </row>
    <row r="73" spans="2:24">
      <c r="B73" s="128"/>
      <c r="C73" s="690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746"/>
      <c r="W73" s="746"/>
      <c r="X73" s="746"/>
    </row>
    <row r="74" spans="2:24">
      <c r="B74" s="128" t="s">
        <v>479</v>
      </c>
      <c r="C74" s="690"/>
      <c r="D74" s="128"/>
      <c r="E74" s="455">
        <f>SUM(E40+E53)</f>
        <v>928182.90741025645</v>
      </c>
      <c r="F74" s="455">
        <f t="shared" ref="F74:X74" si="62">SUM(F40+F53)</f>
        <v>931968.26311569242</v>
      </c>
      <c r="G74" s="455">
        <f t="shared" si="62"/>
        <v>935753.61882112827</v>
      </c>
      <c r="H74" s="455">
        <f t="shared" si="62"/>
        <v>939538.97452656412</v>
      </c>
      <c r="I74" s="455">
        <f t="shared" si="62"/>
        <v>943324.33023199998</v>
      </c>
      <c r="J74" s="455">
        <f t="shared" si="62"/>
        <v>947109.68593743595</v>
      </c>
      <c r="K74" s="455">
        <f t="shared" si="62"/>
        <v>958028.40773805126</v>
      </c>
      <c r="L74" s="455">
        <f t="shared" si="62"/>
        <v>968947.12953866669</v>
      </c>
      <c r="M74" s="455">
        <f t="shared" si="62"/>
        <v>979865.851339282</v>
      </c>
      <c r="N74" s="455">
        <f t="shared" si="62"/>
        <v>990784.57313989755</v>
      </c>
      <c r="O74" s="455">
        <f t="shared" si="62"/>
        <v>1001703.2949405129</v>
      </c>
      <c r="P74" s="455">
        <f t="shared" si="62"/>
        <v>1006925.0304272822</v>
      </c>
      <c r="Q74" s="455">
        <f t="shared" si="62"/>
        <v>1012146.7659140513</v>
      </c>
      <c r="R74" s="455">
        <f t="shared" si="62"/>
        <v>1017368.5014008207</v>
      </c>
      <c r="S74" s="455">
        <f t="shared" si="62"/>
        <v>1022590.2368875898</v>
      </c>
      <c r="T74" s="455">
        <f t="shared" si="62"/>
        <v>1027811.972374359</v>
      </c>
      <c r="U74" s="455">
        <f t="shared" si="62"/>
        <v>1065194.1676461538</v>
      </c>
      <c r="V74" s="455">
        <f t="shared" si="62"/>
        <v>1073544.1634051283</v>
      </c>
      <c r="W74" s="455">
        <f t="shared" si="62"/>
        <v>1073794.834071795</v>
      </c>
      <c r="X74" s="455">
        <f t="shared" si="62"/>
        <v>1083510.8235384617</v>
      </c>
    </row>
    <row r="75" spans="2:24">
      <c r="B75" s="128"/>
      <c r="C75" s="690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746"/>
      <c r="W75" s="746"/>
      <c r="X75" s="746"/>
    </row>
    <row r="76" spans="2:24">
      <c r="B76" s="128"/>
      <c r="C76" s="690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746"/>
      <c r="W76" s="746"/>
      <c r="X76" s="746"/>
    </row>
    <row r="77" spans="2:24">
      <c r="B77" s="128"/>
      <c r="C77" s="690"/>
      <c r="D77" s="128">
        <f>D30</f>
        <v>1014340.8587866955</v>
      </c>
      <c r="E77" s="128">
        <f>E30</f>
        <v>1110802.796703124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746"/>
      <c r="W77" s="746"/>
      <c r="X77" s="746"/>
    </row>
    <row r="78" spans="2:24">
      <c r="B78" s="128"/>
      <c r="C78" s="690"/>
      <c r="D78">
        <f>(D77+(E77-D77)/5)/1000</f>
        <v>1033.6332463699812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746"/>
      <c r="W78" s="746"/>
      <c r="X78" s="746"/>
    </row>
    <row r="79" spans="2:24">
      <c r="B79" s="128"/>
      <c r="C79" s="690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746"/>
      <c r="W79" s="746"/>
      <c r="X79" s="746"/>
    </row>
    <row r="80" spans="2:24">
      <c r="B80" s="128"/>
      <c r="C80" s="690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746"/>
      <c r="W80" s="746"/>
      <c r="X80" s="746"/>
    </row>
    <row r="81" spans="2:24">
      <c r="B81" s="128"/>
      <c r="C81" s="690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746"/>
      <c r="W81" s="746"/>
      <c r="X81" s="746"/>
    </row>
    <row r="82" spans="2:24">
      <c r="C82" s="690"/>
    </row>
    <row r="83" spans="2:24">
      <c r="C83" s="690"/>
    </row>
  </sheetData>
  <pageMargins left="0.25" right="0.25" top="0.75" bottom="0.75" header="0.3" footer="0.3"/>
  <pageSetup paperSize="9" orientation="landscape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J81"/>
  <sheetViews>
    <sheetView zoomScale="110" zoomScaleNormal="110" zoomScalePageLayoutView="110" workbookViewId="0">
      <selection activeCell="E26" sqref="E26"/>
    </sheetView>
  </sheetViews>
  <sheetFormatPr defaultColWidth="8.85546875" defaultRowHeight="12.75"/>
  <cols>
    <col min="1" max="1" width="32.42578125" customWidth="1"/>
    <col min="2" max="2" width="10.42578125" customWidth="1"/>
    <col min="3" max="3" width="11.7109375" customWidth="1"/>
    <col min="4" max="4" width="9.85546875" customWidth="1"/>
    <col min="5" max="5" width="10.42578125" bestFit="1" customWidth="1"/>
    <col min="6" max="6" width="12.7109375" customWidth="1"/>
    <col min="7" max="7" width="10.85546875" customWidth="1"/>
    <col min="8" max="8" width="14.42578125" customWidth="1"/>
    <col min="9" max="9" width="13.28515625" customWidth="1"/>
  </cols>
  <sheetData>
    <row r="1" spans="1:9" ht="26.25" customHeight="1">
      <c r="A1" t="s">
        <v>539</v>
      </c>
      <c r="B1" s="863" t="s">
        <v>537</v>
      </c>
      <c r="C1" s="1022" t="s">
        <v>217</v>
      </c>
      <c r="D1" t="s">
        <v>224</v>
      </c>
      <c r="E1" t="s">
        <v>225</v>
      </c>
      <c r="F1" t="s">
        <v>226</v>
      </c>
      <c r="G1" t="s">
        <v>227</v>
      </c>
      <c r="H1" t="s">
        <v>522</v>
      </c>
      <c r="I1" t="s">
        <v>228</v>
      </c>
    </row>
    <row r="2" spans="1:9">
      <c r="A2" t="s">
        <v>242</v>
      </c>
      <c r="B2" s="1019">
        <f>Meetmed_maksumustega2020!L18</f>
        <v>4257.8739984572576</v>
      </c>
      <c r="C2" s="1020">
        <f>Meetmed_maksumustega2020!N18</f>
        <v>10.389367599664142</v>
      </c>
      <c r="D2" s="1019">
        <f>Meetmed_maksumustega2020!O18</f>
        <v>50000</v>
      </c>
      <c r="E2" s="1019">
        <f>Meetmed_maksumustega2020!P18</f>
        <v>166616.66864326881</v>
      </c>
      <c r="F2" s="1019">
        <f>Meetmed_maksumustega2020!Q18</f>
        <v>50201.048626334486</v>
      </c>
      <c r="G2" s="1019">
        <f>Meetmed_maksumustega2020!R18</f>
        <v>250000</v>
      </c>
      <c r="H2" s="1019">
        <f>Meetmed_maksumustega2020!S18</f>
        <v>18200</v>
      </c>
      <c r="I2" s="1021">
        <f>Meetmed_maksumustega2020!T18</f>
        <v>-31.662907049883703</v>
      </c>
    </row>
    <row r="3" spans="1:9">
      <c r="A3" t="s">
        <v>529</v>
      </c>
      <c r="B3" s="1019">
        <f>Meetmed_maksumustega2020!L54</f>
        <v>2679.4260178274099</v>
      </c>
      <c r="C3" s="1020">
        <f>Meetmed_maksumustega2020!N54</f>
        <v>6.5378970503588176</v>
      </c>
      <c r="D3" s="1019">
        <f>Meetmed_maksumustega2020!O54</f>
        <v>10000</v>
      </c>
      <c r="E3" s="1019">
        <f>Meetmed_maksumustega2020!P54</f>
        <v>100551.17443267202</v>
      </c>
      <c r="F3" s="1019">
        <f>Meetmed_maksumustega2020!Q54</f>
        <v>30682.17829278619</v>
      </c>
      <c r="G3" s="1019">
        <f>Meetmed_maksumustega2020!R54</f>
        <v>0</v>
      </c>
      <c r="H3" s="1019">
        <f>Meetmed_maksumustega2020!S54</f>
        <v>18200</v>
      </c>
      <c r="I3" s="1021">
        <f>Meetmed_maksumustega2020!T54</f>
        <v>-40.587489152192376</v>
      </c>
    </row>
    <row r="4" spans="1:9">
      <c r="A4" t="s">
        <v>527</v>
      </c>
      <c r="B4" s="1019">
        <f>Meetmed_maksumustega2020!L20</f>
        <v>1655.0369959780057</v>
      </c>
      <c r="C4" s="1020">
        <f>Meetmed_maksumustega2020!N20</f>
        <v>4.0383505356169547</v>
      </c>
      <c r="D4" s="1019">
        <f>Meetmed_maksumustega2020!O20</f>
        <v>200</v>
      </c>
      <c r="E4" s="1019">
        <f>Meetmed_maksumustega2020!P20</f>
        <v>63590.671576387154</v>
      </c>
      <c r="F4" s="1019">
        <f>Meetmed_maksumustega2020!Q20</f>
        <v>19265.13639495918</v>
      </c>
      <c r="G4" s="1019">
        <f>Meetmed_maksumustega2020!R20</f>
        <v>80000</v>
      </c>
      <c r="H4" s="1019">
        <v>18200</v>
      </c>
      <c r="I4" s="1021">
        <f>Meetmed_maksumustega2020!T20</f>
        <v>-49.29839742233257</v>
      </c>
    </row>
    <row r="5" spans="1:9">
      <c r="A5" t="s">
        <v>243</v>
      </c>
      <c r="B5" s="1019">
        <f>Meetmed_maksumustega2020!L19</f>
        <v>1655.0369959780057</v>
      </c>
      <c r="C5" s="1020">
        <f>Meetmed_maksumustega2020!N19</f>
        <v>4.0383505356169547</v>
      </c>
      <c r="D5" s="1019">
        <f>Meetmed_maksumustega2020!O19</f>
        <v>0</v>
      </c>
      <c r="E5" s="1019">
        <f>Meetmed_maksumustega2020!P19</f>
        <v>63590.671576387154</v>
      </c>
      <c r="F5" s="1019">
        <f>Meetmed_maksumustega2020!Q19</f>
        <v>19265.13639495918</v>
      </c>
      <c r="G5" s="1019">
        <f>Meetmed_maksumustega2020!R19</f>
        <v>70000</v>
      </c>
      <c r="H5" s="1019">
        <f>Meetmed_maksumustega2020!S19</f>
        <v>0</v>
      </c>
      <c r="I5" s="1021">
        <f>Meetmed_maksumustega2020!T19</f>
        <v>-38.422507612169554</v>
      </c>
    </row>
    <row r="6" spans="1:9">
      <c r="A6" s="1025" t="s">
        <v>538</v>
      </c>
      <c r="B6" s="1019">
        <f>Meetmed_maksumustega2020!L44</f>
        <v>1238.994625233765</v>
      </c>
      <c r="C6" s="1019">
        <f>Meetmed_maksumustega2020!N44</f>
        <v>3.0231920015072551</v>
      </c>
      <c r="D6" s="1019">
        <f>Meetmed_maksumustega2020!O44</f>
        <v>16280</v>
      </c>
      <c r="E6" s="1019">
        <f>Meetmed_maksumustega2020!P44</f>
        <v>48756.809216892274</v>
      </c>
      <c r="F6" s="1019">
        <f>Meetmed_maksumustega2020!Q44</f>
        <v>14665.705064569227</v>
      </c>
      <c r="G6" s="1019">
        <f>Meetmed_maksumustega2020!R44</f>
        <v>0</v>
      </c>
      <c r="H6" s="1019">
        <f>Meetmed_maksumustega2020!S44</f>
        <v>18200</v>
      </c>
      <c r="I6" s="1021">
        <f>Meetmed_maksumustega2020!T44</f>
        <v>-40.901556943663834</v>
      </c>
    </row>
    <row r="7" spans="1:9">
      <c r="A7" t="s">
        <v>261</v>
      </c>
      <c r="B7" s="1019">
        <f>Meetmed_maksumustega2020!L45</f>
        <v>1221.0707430090461</v>
      </c>
      <c r="C7" s="1020">
        <f>Meetmed_maksumustega2020!N45</f>
        <v>2.9794570762104611</v>
      </c>
      <c r="D7" s="1019">
        <f>Meetmed_maksumustega2020!O45</f>
        <v>29375</v>
      </c>
      <c r="E7" s="1019">
        <f>Meetmed_maksumustega2020!P45</f>
        <v>25582.594924889894</v>
      </c>
      <c r="F7" s="1019">
        <f>Meetmed_maksumustega2020!Q45</f>
        <v>8181.4295108096103</v>
      </c>
      <c r="G7" s="1019">
        <f>Meetmed_maksumustega2020!R45</f>
        <v>0</v>
      </c>
      <c r="H7" s="1019">
        <f>Meetmed_maksumustega2020!S45</f>
        <v>0</v>
      </c>
      <c r="I7" s="1021">
        <f>Meetmed_maksumustega2020!T45</f>
        <v>3.1058029166799965</v>
      </c>
    </row>
    <row r="8" spans="1:9">
      <c r="A8" t="s">
        <v>531</v>
      </c>
      <c r="B8" s="1019">
        <f>Meetmed_maksumustega2020!L6</f>
        <v>1161.3413406010782</v>
      </c>
      <c r="C8" s="1020">
        <f>Meetmed_maksumustega2020!N6</f>
        <v>2.833715159387773</v>
      </c>
      <c r="D8" s="1019">
        <f>Meetmed_maksumustega2020!O6</f>
        <v>120</v>
      </c>
      <c r="E8" s="1019">
        <f>Meetmed_maksumustega2020!P6</f>
        <v>41723.47201073898</v>
      </c>
      <c r="F8" s="1019">
        <f>Meetmed_maksumustega2020!Q6</f>
        <v>12905.704542989883</v>
      </c>
      <c r="G8" s="1019">
        <f>Meetmed_maksumustega2020!R6</f>
        <v>0</v>
      </c>
      <c r="H8" s="1019">
        <f>Meetmed_maksumustega2020!S6</f>
        <v>0</v>
      </c>
      <c r="I8" s="1021">
        <f>Meetmed_maksumustega2020!T6</f>
        <v>-35.823638198573192</v>
      </c>
    </row>
    <row r="9" spans="1:9">
      <c r="A9" t="s">
        <v>525</v>
      </c>
      <c r="B9" s="1019">
        <f>Meetmed_maksumustega2020!L56</f>
        <v>1106.5104487395802</v>
      </c>
      <c r="C9" s="1020">
        <f>Meetmed_maksumustega2020!N56</f>
        <v>2.6999257866696187</v>
      </c>
      <c r="D9" s="1019">
        <f>Meetmed_maksumustega2020!O56</f>
        <v>2400</v>
      </c>
      <c r="E9" s="1019">
        <f>Meetmed_maksumustega2020!P56</f>
        <v>42514.906139641695</v>
      </c>
      <c r="F9" s="1019">
        <f>Meetmed_maksumustega2020!Q56</f>
        <v>12880.119761201277</v>
      </c>
      <c r="G9" s="1019">
        <f>Meetmed_maksumustega2020!R56</f>
        <v>24000</v>
      </c>
      <c r="H9" s="1019">
        <f>Meetmed_maksumustega2020!S56</f>
        <v>18200</v>
      </c>
      <c r="I9" s="1021">
        <f>Meetmed_maksumustega2020!T56</f>
        <v>-52.701631698162338</v>
      </c>
    </row>
    <row r="10" spans="1:9">
      <c r="A10" t="s">
        <v>523</v>
      </c>
      <c r="B10" s="1019">
        <f>Meetmed_maksumustega2020!L22</f>
        <v>1080.7935712381641</v>
      </c>
      <c r="C10" s="1020">
        <f>Meetmed_maksumustega2020!N22</f>
        <v>2.6371756691286699</v>
      </c>
      <c r="D10" s="1019">
        <f>Meetmed_maksumustega2020!O22</f>
        <v>13000</v>
      </c>
      <c r="E10" s="1019">
        <f>Meetmed_maksumustega2020!P22</f>
        <v>39433.643955917898</v>
      </c>
      <c r="F10" s="1019">
        <f>Meetmed_maksumustega2020!Q22</f>
        <v>12138.282032206604</v>
      </c>
      <c r="G10" s="1019">
        <f>Meetmed_maksumustega2020!R22</f>
        <v>73000</v>
      </c>
      <c r="H10" s="1019">
        <f>Meetmed_maksumustega2020!S22</f>
        <v>18200</v>
      </c>
      <c r="I10" s="1021">
        <f>Meetmed_maksumustega2020!T22</f>
        <v>-41.297103483679415</v>
      </c>
    </row>
    <row r="11" spans="1:9">
      <c r="A11" t="s">
        <v>524</v>
      </c>
      <c r="B11" s="1019">
        <f>Meetmed_maksumustega2020!L23</f>
        <v>967.78445050089886</v>
      </c>
      <c r="C11" s="1020">
        <f>Meetmed_maksumustega2020!N23</f>
        <v>2.3614292994898118</v>
      </c>
      <c r="D11" s="1019">
        <f>Meetmed_maksumustega2020!O23</f>
        <v>0</v>
      </c>
      <c r="E11" s="1019">
        <f>Meetmed_maksumustega2020!P23</f>
        <v>34769.560008949149</v>
      </c>
      <c r="F11" s="1019">
        <f>Meetmed_maksumustega2020!Q23</f>
        <v>10754.753785824902</v>
      </c>
      <c r="G11" s="1019">
        <f>Meetmed_maksumustega2020!R23</f>
        <v>70000</v>
      </c>
      <c r="H11" s="1019">
        <f>Meetmed_maksumustega2020!S23</f>
        <v>18200</v>
      </c>
      <c r="I11" s="1021">
        <f>Meetmed_maksumustega2020!T23</f>
        <v>-54.732807477464171</v>
      </c>
    </row>
    <row r="12" spans="1:9">
      <c r="A12" t="s">
        <v>528</v>
      </c>
      <c r="B12" s="1019">
        <f>Meetmed_maksumustega2020!L55</f>
        <v>922.09204061631738</v>
      </c>
      <c r="C12" s="1020">
        <f>Meetmed_maksumustega2020!N55</f>
        <v>2.2499381555580169</v>
      </c>
      <c r="D12" s="1019">
        <f>Meetmed_maksumustega2020!O55</f>
        <v>4100.0000000000009</v>
      </c>
      <c r="E12" s="1019">
        <f>Meetmed_maksumustega2020!P55</f>
        <v>35429.088449701412</v>
      </c>
      <c r="F12" s="1019">
        <f>Meetmed_maksumustega2020!Q55</f>
        <v>10733.433134334398</v>
      </c>
      <c r="G12" s="1019">
        <f>Meetmed_maksumustega2020!R55</f>
        <v>0</v>
      </c>
      <c r="H12" s="1019">
        <f>Meetmed_maksumustega2020!S55</f>
        <v>18200</v>
      </c>
      <c r="I12" s="1021">
        <f>Meetmed_maksumustega2020!T55</f>
        <v>-53.713822772612431</v>
      </c>
    </row>
    <row r="13" spans="1:9">
      <c r="A13" t="s">
        <v>233</v>
      </c>
      <c r="B13" s="1019">
        <f>Meetmed_maksumustega2020!L7</f>
        <v>827.51849798900287</v>
      </c>
      <c r="C13" s="1020">
        <f>Meetmed_maksumustega2020!N7</f>
        <v>2.0191752678084773</v>
      </c>
      <c r="D13" s="1019">
        <f>Meetmed_maksumustega2020!O7</f>
        <v>310</v>
      </c>
      <c r="E13" s="1019">
        <f>Meetmed_maksumustega2020!P7</f>
        <v>31795.335788193577</v>
      </c>
      <c r="F13" s="1019">
        <f>Meetmed_maksumustega2020!Q7</f>
        <v>9632.5681974795898</v>
      </c>
      <c r="G13" s="1019">
        <f>Meetmed_maksumustega2020!R7</f>
        <v>0</v>
      </c>
      <c r="H13" s="1019">
        <f>Meetmed_maksumustega2020!S7</f>
        <v>0</v>
      </c>
      <c r="I13" s="1021">
        <f>Meetmed_maksumustega2020!T7</f>
        <v>-38.047893629819491</v>
      </c>
    </row>
    <row r="14" spans="1:9">
      <c r="A14" t="s">
        <v>533</v>
      </c>
      <c r="B14" s="1019">
        <f>Meetmed_maksumustega2020!L46</f>
        <v>459.10898662120456</v>
      </c>
      <c r="C14" s="1020">
        <f>Meetmed_maksumustega2020!N46</f>
        <v>1.1202426450489673</v>
      </c>
      <c r="D14" s="1019">
        <f>Meetmed_maksumustega2020!O46</f>
        <v>6000</v>
      </c>
      <c r="E14" s="1019">
        <f>Meetmed_maksumustega2020!P46</f>
        <v>10000</v>
      </c>
      <c r="F14" s="1019">
        <f>Meetmed_maksumustega2020!Q46</f>
        <v>1180.4810550110296</v>
      </c>
      <c r="G14" s="1019">
        <f>Meetmed_maksumustega2020!R46</f>
        <v>0</v>
      </c>
      <c r="H14" s="1019">
        <f>Meetmed_maksumustega2020!S46</f>
        <v>0</v>
      </c>
      <c r="I14" s="1021">
        <f>Meetmed_maksumustega2020!T46</f>
        <v>-8.7125282156593151</v>
      </c>
    </row>
    <row r="15" spans="1:9">
      <c r="A15" t="s">
        <v>534</v>
      </c>
      <c r="B15" s="1019">
        <f>Meetmed_maksumustega2020!L33</f>
        <v>389.37290383199752</v>
      </c>
      <c r="C15" s="1020">
        <f>Meetmed_maksumustega2020!N33</f>
        <v>0.95008406371936616</v>
      </c>
      <c r="D15" s="1019">
        <f>Meetmed_maksumustega2020!O33</f>
        <v>9971.4292863472856</v>
      </c>
      <c r="E15" s="1019">
        <f>Meetmed_maksumustega2020!P33</f>
        <v>12464.286607934106</v>
      </c>
      <c r="F15" s="1019">
        <f>Meetmed_maksumustega2020!Q33</f>
        <v>4004.6903868387517</v>
      </c>
      <c r="G15" s="1019">
        <f>Meetmed_maksumustega2020!R33</f>
        <v>0</v>
      </c>
      <c r="H15" s="1019">
        <f>Meetmed_maksumustega2020!S33</f>
        <v>0</v>
      </c>
      <c r="I15" s="1021">
        <f>Meetmed_maksumustega2020!T33</f>
        <v>-6.4022362548946434</v>
      </c>
    </row>
    <row r="16" spans="1:9">
      <c r="A16" t="s">
        <v>526</v>
      </c>
      <c r="B16" s="1019">
        <f>Meetmed_maksumustega2020!L47</f>
        <v>354.65078485242975</v>
      </c>
      <c r="C16" s="1020">
        <f>Meetmed_maksumustega2020!N47</f>
        <v>0.86536082906077583</v>
      </c>
      <c r="D16" s="1019">
        <f>Meetmed_maksumustega2020!O47</f>
        <v>13926.666666666666</v>
      </c>
      <c r="E16" s="1019">
        <f>Meetmed_maksumustega2020!P47</f>
        <v>13626.572480654389</v>
      </c>
      <c r="F16" s="1019">
        <f>Meetmed_maksumustega2020!Q47</f>
        <v>4128.243513205538</v>
      </c>
      <c r="G16" s="1019">
        <f>Meetmed_maksumustega2020!R47</f>
        <v>0</v>
      </c>
      <c r="H16" s="1019">
        <f>Meetmed_maksumustega2020!S47</f>
        <v>18200</v>
      </c>
      <c r="I16" s="1021">
        <f>Meetmed_maksumustega2020!T47</f>
        <v>-38.831613770465999</v>
      </c>
    </row>
    <row r="17" spans="1:9">
      <c r="A17" t="s">
        <v>536</v>
      </c>
      <c r="B17" s="1019">
        <f>Meetmed_maksumustega2020!L34</f>
        <v>292.02967787399825</v>
      </c>
      <c r="C17" s="1020">
        <f>Meetmed_maksumustega2020!N34</f>
        <v>0.71256304778952495</v>
      </c>
      <c r="D17" s="1019">
        <f>Meetmed_maksumustega2020!O34</f>
        <v>7478.5719647604628</v>
      </c>
      <c r="E17" s="1019">
        <f>Meetmed_maksumustega2020!P34</f>
        <v>9348.2149559505779</v>
      </c>
      <c r="F17" s="1019">
        <f>Meetmed_maksumustega2020!Q34</f>
        <v>3003.5177901290635</v>
      </c>
      <c r="G17" s="1019">
        <f>Meetmed_maksumustega2020!R34</f>
        <v>0</v>
      </c>
      <c r="H17" s="1019">
        <f>Meetmed_maksumustega2020!S34</f>
        <v>0</v>
      </c>
      <c r="I17" s="1021">
        <f>Meetmed_maksumustega2020!T34</f>
        <v>-6.4022362548946408</v>
      </c>
    </row>
    <row r="18" spans="1:9">
      <c r="A18" t="s">
        <v>248</v>
      </c>
      <c r="B18" s="1019">
        <f>Meetmed_maksumustega2020!L24</f>
        <v>292.0296778739982</v>
      </c>
      <c r="C18" s="1020">
        <f>Meetmed_maksumustega2020!N24</f>
        <v>0.71256304778952473</v>
      </c>
      <c r="D18" s="1019">
        <f>Meetmed_maksumustega2020!O24</f>
        <v>12000</v>
      </c>
      <c r="E18" s="1019">
        <f>Meetmed_maksumustega2020!P24</f>
        <v>9348.2149559505779</v>
      </c>
      <c r="F18" s="1019">
        <f>Meetmed_maksumustega2020!Q24</f>
        <v>3003.5177901290635</v>
      </c>
      <c r="G18" s="1019">
        <f>Meetmed_maksumustega2020!R24</f>
        <v>60000</v>
      </c>
      <c r="H18" s="1019">
        <f>Meetmed_maksumustega2020!S24</f>
        <v>0</v>
      </c>
      <c r="I18" s="1021">
        <f>Meetmed_maksumustega2020!T24</f>
        <v>9.0805327162453189</v>
      </c>
    </row>
    <row r="19" spans="1:9">
      <c r="A19" t="s">
        <v>530</v>
      </c>
      <c r="B19" s="1019">
        <f>Meetmed_maksumustega2020!L8</f>
        <v>236.4338565682865</v>
      </c>
      <c r="C19" s="1020">
        <f>Meetmed_maksumustega2020!N8</f>
        <v>0.57690721937385048</v>
      </c>
      <c r="D19" s="1019">
        <f>Meetmed_maksumustega2020!O8</f>
        <v>150</v>
      </c>
      <c r="E19" s="1019">
        <f>Meetmed_maksumustega2020!P8</f>
        <v>9084.3816537695911</v>
      </c>
      <c r="F19" s="1019">
        <f>Meetmed_maksumustega2020!Q8</f>
        <v>2752.162342137025</v>
      </c>
      <c r="G19" s="1019">
        <f>Meetmed_maksumustega2020!R8</f>
        <v>0</v>
      </c>
      <c r="H19" s="1019">
        <f>Meetmed_maksumustega2020!S8</f>
        <v>0</v>
      </c>
      <c r="I19" s="1021">
        <f>Meetmed_maksumustega2020!T8</f>
        <v>-37.788080706576707</v>
      </c>
    </row>
    <row r="20" spans="1:9">
      <c r="A20" t="s">
        <v>268</v>
      </c>
      <c r="B20" s="1019">
        <f>Meetmed_maksumustega2020!L57</f>
        <v>196.41099618610201</v>
      </c>
      <c r="C20" s="1020">
        <f>Meetmed_maksumustega2020!N57</f>
        <v>0.47924998267515789</v>
      </c>
      <c r="D20" s="1019">
        <f>Meetmed_maksumustega2020!O57</f>
        <v>328</v>
      </c>
      <c r="E20" s="1019">
        <f>Meetmed_maksumustega2020!P57</f>
        <v>7546.6029960743099</v>
      </c>
      <c r="F20" s="1019">
        <f>Meetmed_maksumustega2020!Q57</f>
        <v>2286.284016726202</v>
      </c>
      <c r="G20" s="1019">
        <f>Meetmed_maksumustega2020!R57</f>
        <v>0</v>
      </c>
      <c r="H20" s="1019">
        <f>Meetmed_maksumustega2020!S57</f>
        <v>0</v>
      </c>
      <c r="I20" s="1021">
        <f>Meetmed_maksumustega2020!T57</f>
        <v>-36.752540011734311</v>
      </c>
    </row>
    <row r="21" spans="1:9">
      <c r="A21" t="s">
        <v>236</v>
      </c>
      <c r="B21" s="1019">
        <f>Meetmed_maksumustega2020!L10</f>
        <v>189.14708525462922</v>
      </c>
      <c r="C21" s="1020">
        <f>Meetmed_maksumustega2020!N10</f>
        <v>0.46152577549908042</v>
      </c>
      <c r="D21" s="1019">
        <f>Meetmed_maksumustega2020!O10</f>
        <v>140</v>
      </c>
      <c r="E21" s="1019">
        <f>Meetmed_maksumustega2020!P10</f>
        <v>7267.5053230156745</v>
      </c>
      <c r="F21" s="1019">
        <f>Meetmed_maksumustega2020!Q10</f>
        <v>2201.7298737096203</v>
      </c>
      <c r="G21" s="1019">
        <f>Meetmed_maksumustega2020!R10</f>
        <v>0</v>
      </c>
      <c r="H21" s="1019">
        <f>Meetmed_maksumustega2020!S10</f>
        <v>0</v>
      </c>
      <c r="I21" s="1021">
        <f>Meetmed_maksumustega2020!T10</f>
        <v>-37.682342888977907</v>
      </c>
    </row>
    <row r="22" spans="1:9">
      <c r="A22" t="s">
        <v>535</v>
      </c>
      <c r="B22" s="1019">
        <f>Meetmed_maksumustega2020!L35</f>
        <v>186</v>
      </c>
      <c r="C22" s="1020">
        <f>Meetmed_maksumustega2020!N35</f>
        <v>0.45384677288188879</v>
      </c>
      <c r="D22" s="1019">
        <f>Meetmed_maksumustega2020!O35</f>
        <v>5760</v>
      </c>
      <c r="E22" s="1019">
        <f>Meetmed_maksumustega2020!P35</f>
        <v>3300</v>
      </c>
      <c r="F22" s="1019">
        <f>Meetmed_maksumustega2020!Q35</f>
        <v>478.2513142423216</v>
      </c>
      <c r="G22" s="1019">
        <f>Meetmed_maksumustega2020!R35</f>
        <v>0</v>
      </c>
      <c r="H22" s="1019">
        <f>Meetmed_maksumustega2020!S35</f>
        <v>0</v>
      </c>
      <c r="I22" s="1021">
        <f>Meetmed_maksumustega2020!T35</f>
        <v>13.225806451612904</v>
      </c>
    </row>
    <row r="23" spans="1:9">
      <c r="A23" t="s">
        <v>249</v>
      </c>
      <c r="B23" s="1019">
        <f>Meetmed_maksumustega2020!L25</f>
        <v>64.186751984303555</v>
      </c>
      <c r="C23" s="1020">
        <f>Meetmed_maksumustega2020!N25</f>
        <v>0.15661801209594806</v>
      </c>
      <c r="D23" s="1019">
        <f>Meetmed_maksumustega2020!O25</f>
        <v>5609.9076923076918</v>
      </c>
      <c r="E23" s="1019">
        <f>Meetmed_maksumustega2020!P25</f>
        <v>2466.215966717336</v>
      </c>
      <c r="F23" s="1019">
        <f>Meetmed_maksumustega2020!Q25</f>
        <v>747.15340788880735</v>
      </c>
      <c r="G23" s="1019">
        <f>Meetmed_maksumustega2020!R25</f>
        <v>0</v>
      </c>
      <c r="H23" s="1019">
        <f>Meetmed_maksumustega2020!S25</f>
        <v>0</v>
      </c>
      <c r="I23" s="1021">
        <f>Meetmed_maksumustega2020!T25</f>
        <v>48.977267557628167</v>
      </c>
    </row>
    <row r="24" spans="1:9">
      <c r="A24" t="s">
        <v>256</v>
      </c>
      <c r="B24" s="1019">
        <f>Meetmed_maksumustega2020!L36</f>
        <v>32.329532551671832</v>
      </c>
      <c r="C24" s="1020">
        <f>Meetmed_maksumustega2020!N36</f>
        <v>7.8885236652452881E-2</v>
      </c>
      <c r="D24" s="1019">
        <f>Meetmed_maksumustega2020!O36</f>
        <v>2600</v>
      </c>
      <c r="E24" s="1019">
        <f>Meetmed_maksumustega2020!P36</f>
        <v>1034.9065270305505</v>
      </c>
      <c r="F24" s="1019">
        <f>Meetmed_maksumustega2020!Q36</f>
        <v>332.50841788552646</v>
      </c>
      <c r="G24" s="1019">
        <f>Meetmed_maksumustega2020!R36</f>
        <v>0</v>
      </c>
      <c r="H24" s="1019">
        <f>Meetmed_maksumustega2020!S36</f>
        <v>0</v>
      </c>
      <c r="I24" s="1021">
        <f>Meetmed_maksumustega2020!T36</f>
        <v>48.410643440884364</v>
      </c>
    </row>
    <row r="25" spans="1:9">
      <c r="A25" s="1024" t="s">
        <v>532</v>
      </c>
      <c r="B25" s="1019">
        <f>Meetmed_maksumustega2020!L37</f>
        <v>16.616777468145902</v>
      </c>
      <c r="C25" s="1020">
        <f>Meetmed_maksumustega2020!N37</f>
        <v>4.0545542094701612E-2</v>
      </c>
      <c r="D25" s="1019">
        <f>Meetmed_maksumustega2020!O37</f>
        <v>177.30755857680018</v>
      </c>
      <c r="E25" s="1019">
        <f>Meetmed_maksumustega2020!P37</f>
        <v>531.92267573040056</v>
      </c>
      <c r="F25" s="1019">
        <f>Meetmed_maksumustega2020!Q37</f>
        <v>170.90313252931125</v>
      </c>
      <c r="G25" s="1019">
        <f>Meetmed_maksumustega2020!R37</f>
        <v>0</v>
      </c>
      <c r="H25" s="1019">
        <f>Meetmed_maksumustega2020!S37</f>
        <v>0</v>
      </c>
      <c r="I25" s="1019">
        <f>Meetmed_maksumustega2020!T37</f>
        <v>-21.34078751631548</v>
      </c>
    </row>
    <row r="26" spans="1:9">
      <c r="D26" s="863">
        <f>Meetmed_maksumustega2020!O59</f>
        <v>192326.88316865888</v>
      </c>
      <c r="E26" s="863">
        <f>Meetmed_maksumustega2020!P59</f>
        <v>837584.94800158031</v>
      </c>
      <c r="F26" s="863">
        <f>Meetmed_maksumustega2020!Q59</f>
        <v>253196.98276013212</v>
      </c>
      <c r="G26">
        <f>Meetmed_maksumustega2020!R59</f>
        <v>651000</v>
      </c>
      <c r="H26">
        <f>Meetmed_maksumustega2020!S59</f>
        <v>182000</v>
      </c>
      <c r="I26" s="863" t="e">
        <f>Meetmed_maksumustega2020!T59</f>
        <v>#DIV/0!</v>
      </c>
    </row>
    <row r="29" spans="1:9">
      <c r="A29" t="str">
        <f>A1</f>
        <v xml:space="preserve"> BAU 2020 41000 TJ</v>
      </c>
      <c r="B29" s="863"/>
      <c r="C29" t="str">
        <f t="shared" ref="C29:C34" si="0">C1</f>
        <v>% 2020 tarbimisest</v>
      </c>
      <c r="D29" t="s">
        <v>224</v>
      </c>
      <c r="E29" t="s">
        <v>225</v>
      </c>
      <c r="F29" t="s">
        <v>226</v>
      </c>
      <c r="G29" t="s">
        <v>227</v>
      </c>
      <c r="H29" t="s">
        <v>522</v>
      </c>
      <c r="I29" t="s">
        <v>228</v>
      </c>
    </row>
    <row r="30" spans="1:9">
      <c r="A30" s="1023" t="str">
        <f>A2</f>
        <v>Autode teekasutustasud</v>
      </c>
      <c r="B30" s="863">
        <f t="shared" ref="B30:B35" si="1">ROUND(B2,-2)</f>
        <v>4300</v>
      </c>
      <c r="C30" s="885">
        <f t="shared" si="0"/>
        <v>10.389367599664142</v>
      </c>
      <c r="D30" s="863">
        <f t="shared" ref="D30:F31" si="2">ROUND(D2,-3)</f>
        <v>50000</v>
      </c>
      <c r="E30" s="863">
        <f t="shared" si="2"/>
        <v>167000</v>
      </c>
      <c r="F30" s="863">
        <f t="shared" si="2"/>
        <v>50000</v>
      </c>
      <c r="G30" s="863">
        <f>G2</f>
        <v>250000</v>
      </c>
      <c r="H30" s="863">
        <f>ROUND(H2,-3)</f>
        <v>18000</v>
      </c>
      <c r="I30" s="863">
        <f>ROUND(I2,-1)</f>
        <v>-30</v>
      </c>
    </row>
    <row r="31" spans="1:9">
      <c r="A31" s="1023" t="str">
        <f t="shared" ref="A31:A53" si="3">A3</f>
        <v>Maakasutuse suunamine</v>
      </c>
      <c r="B31" s="863">
        <f t="shared" si="1"/>
        <v>2700</v>
      </c>
      <c r="C31" s="885">
        <f t="shared" si="0"/>
        <v>6.5378970503588176</v>
      </c>
      <c r="D31" s="863">
        <f t="shared" si="2"/>
        <v>10000</v>
      </c>
      <c r="E31" s="863">
        <f t="shared" si="2"/>
        <v>101000</v>
      </c>
      <c r="F31" s="863">
        <f t="shared" si="2"/>
        <v>31000</v>
      </c>
      <c r="G31" s="863">
        <f>G3</f>
        <v>0</v>
      </c>
      <c r="H31" s="863">
        <f>ROUND(H3,-3)</f>
        <v>18000</v>
      </c>
      <c r="I31" s="863">
        <f>ROUND(I3,-1)</f>
        <v>-40</v>
      </c>
    </row>
    <row r="32" spans="1:9">
      <c r="A32" s="1023" t="str">
        <f t="shared" si="3"/>
        <v>Sõiduauto  aastamaks</v>
      </c>
      <c r="B32" s="863">
        <f t="shared" si="1"/>
        <v>1700</v>
      </c>
      <c r="C32" s="885">
        <f t="shared" si="0"/>
        <v>4.0383505356169547</v>
      </c>
      <c r="D32" s="863">
        <f>ROUND(D4,-1)</f>
        <v>200</v>
      </c>
      <c r="E32" s="863">
        <f>ROUND(E4,-3)</f>
        <v>64000</v>
      </c>
      <c r="F32" s="863">
        <f>ROUND(F4,-3)</f>
        <v>19000</v>
      </c>
      <c r="G32" s="863">
        <f>G4</f>
        <v>80000</v>
      </c>
      <c r="H32" s="863">
        <f>ROUND(H4,-3)</f>
        <v>18000</v>
      </c>
      <c r="I32" s="863">
        <f>ROUND(I4,-1)</f>
        <v>-50</v>
      </c>
    </row>
    <row r="33" spans="1:9">
      <c r="A33" s="1023" t="str">
        <f t="shared" si="3"/>
        <v>Sõiduauto reg. maks</v>
      </c>
      <c r="B33" s="863">
        <f t="shared" si="1"/>
        <v>1700</v>
      </c>
      <c r="C33" s="885">
        <f t="shared" si="0"/>
        <v>4.0383505356169547</v>
      </c>
      <c r="D33" s="863">
        <f>ROUND(D5,-1)</f>
        <v>0</v>
      </c>
      <c r="E33" s="863">
        <f>ROUND(E5,-3)</f>
        <v>64000</v>
      </c>
      <c r="F33" s="863">
        <f>ROUND(F5,-3)</f>
        <v>19000</v>
      </c>
      <c r="G33" s="863">
        <f>G5</f>
        <v>70000</v>
      </c>
      <c r="H33" s="863">
        <f>ROUND(H5,-3)</f>
        <v>0</v>
      </c>
      <c r="I33" s="863">
        <f>ROUND(I5,-1)</f>
        <v>-40</v>
      </c>
    </row>
    <row r="34" spans="1:9">
      <c r="A34" s="1023" t="str">
        <f t="shared" si="3"/>
        <v>Ühistranspordi arendamine</v>
      </c>
      <c r="B34" s="863">
        <f t="shared" si="1"/>
        <v>1200</v>
      </c>
      <c r="C34" s="885">
        <f t="shared" si="0"/>
        <v>3.0231920015072551</v>
      </c>
      <c r="D34" s="863">
        <f>ROUND(D6,-3)</f>
        <v>16000</v>
      </c>
      <c r="E34" s="863">
        <f t="shared" ref="E34:G53" si="4">ROUND(E6,-2)</f>
        <v>48800</v>
      </c>
      <c r="F34" s="863">
        <f t="shared" si="4"/>
        <v>14700</v>
      </c>
      <c r="G34" s="863">
        <f t="shared" si="4"/>
        <v>0</v>
      </c>
      <c r="H34" s="863">
        <f>ROUND(H6,-3)</f>
        <v>18000</v>
      </c>
      <c r="I34" s="863">
        <f>ROUND(I6,-1)</f>
        <v>-40</v>
      </c>
    </row>
    <row r="35" spans="1:9">
      <c r="A35" s="1023" t="str">
        <f t="shared" si="3"/>
        <v xml:space="preserve">Rail Baltic </v>
      </c>
      <c r="B35" s="863">
        <f t="shared" si="1"/>
        <v>1200</v>
      </c>
      <c r="C35" s="885">
        <f t="shared" ref="C35:C53" si="5">C7</f>
        <v>2.9794570762104611</v>
      </c>
      <c r="D35" s="863">
        <f>ROUND(D7,-3)</f>
        <v>29000</v>
      </c>
      <c r="E35" s="863">
        <f t="shared" si="4"/>
        <v>25600</v>
      </c>
      <c r="F35" s="863">
        <f t="shared" si="4"/>
        <v>8200</v>
      </c>
      <c r="G35" s="863">
        <f t="shared" si="4"/>
        <v>0</v>
      </c>
      <c r="H35" s="863">
        <v>0</v>
      </c>
      <c r="I35" s="863">
        <f>ROUND(I7,)</f>
        <v>3</v>
      </c>
    </row>
    <row r="36" spans="1:9">
      <c r="A36" s="1023" t="str">
        <f t="shared" si="3"/>
        <v>Säästlik sõiduviis</v>
      </c>
      <c r="B36" s="863">
        <f t="shared" ref="B36:B51" si="6">ROUND(B8,-2)</f>
        <v>1200</v>
      </c>
      <c r="C36" s="885">
        <f t="shared" si="5"/>
        <v>2.833715159387773</v>
      </c>
      <c r="D36" s="863">
        <f>ROUND(D8,-1)</f>
        <v>120</v>
      </c>
      <c r="E36" s="863">
        <f t="shared" si="4"/>
        <v>41700</v>
      </c>
      <c r="F36" s="863">
        <f t="shared" si="4"/>
        <v>12900</v>
      </c>
      <c r="G36" s="863">
        <f t="shared" si="4"/>
        <v>0</v>
      </c>
      <c r="H36" s="863">
        <v>0</v>
      </c>
      <c r="I36" s="863">
        <f t="shared" ref="I36:I53" si="7">ROUND(I8,-1)</f>
        <v>-40</v>
      </c>
    </row>
    <row r="37" spans="1:9">
      <c r="A37" s="1023" t="str">
        <f t="shared" si="3"/>
        <v>Linnade parkimispoliitika</v>
      </c>
      <c r="B37" s="863">
        <f t="shared" si="6"/>
        <v>1100</v>
      </c>
      <c r="C37" s="885">
        <f t="shared" si="5"/>
        <v>2.6999257866696187</v>
      </c>
      <c r="D37" s="863">
        <f t="shared" ref="D37:D43" si="8">ROUND(D9,-1)</f>
        <v>2400</v>
      </c>
      <c r="E37" s="863">
        <f t="shared" si="4"/>
        <v>42500</v>
      </c>
      <c r="F37" s="863">
        <f t="shared" si="4"/>
        <v>12900</v>
      </c>
      <c r="G37" s="863">
        <f t="shared" si="4"/>
        <v>24000</v>
      </c>
      <c r="H37" s="863">
        <v>18000</v>
      </c>
      <c r="I37" s="863">
        <f t="shared" si="7"/>
        <v>-50</v>
      </c>
    </row>
    <row r="38" spans="1:9">
      <c r="A38" s="1023" t="str">
        <f t="shared" si="3"/>
        <v xml:space="preserve">Tallinna ummikumaks </v>
      </c>
      <c r="B38" s="863">
        <f t="shared" si="6"/>
        <v>1100</v>
      </c>
      <c r="C38" s="885">
        <f t="shared" si="5"/>
        <v>2.6371756691286699</v>
      </c>
      <c r="D38" s="863">
        <f t="shared" si="8"/>
        <v>13000</v>
      </c>
      <c r="E38" s="863">
        <f t="shared" si="4"/>
        <v>39400</v>
      </c>
      <c r="F38" s="863">
        <f t="shared" si="4"/>
        <v>12100</v>
      </c>
      <c r="G38" s="863">
        <f t="shared" si="4"/>
        <v>73000</v>
      </c>
      <c r="H38" s="863">
        <f t="shared" ref="H38:H53" si="9">ROUND(H9,-3)</f>
        <v>18000</v>
      </c>
      <c r="I38" s="863">
        <f t="shared" si="7"/>
        <v>-40</v>
      </c>
    </row>
    <row r="39" spans="1:9">
      <c r="A39" s="1023" t="str">
        <f t="shared" si="3"/>
        <v>Kütuseaktsiisi tõstmine</v>
      </c>
      <c r="B39" s="863">
        <f t="shared" si="6"/>
        <v>1000</v>
      </c>
      <c r="C39" s="885">
        <f t="shared" si="5"/>
        <v>2.3614292994898118</v>
      </c>
      <c r="D39" s="863">
        <f t="shared" si="8"/>
        <v>0</v>
      </c>
      <c r="E39" s="863">
        <f t="shared" si="4"/>
        <v>34800</v>
      </c>
      <c r="F39" s="863">
        <f t="shared" si="4"/>
        <v>10800</v>
      </c>
      <c r="G39" s="863">
        <f t="shared" si="4"/>
        <v>70000</v>
      </c>
      <c r="H39" s="863">
        <f t="shared" si="9"/>
        <v>18000</v>
      </c>
      <c r="I39" s="863">
        <f t="shared" si="7"/>
        <v>-50</v>
      </c>
    </row>
    <row r="40" spans="1:9">
      <c r="A40" s="1023" t="str">
        <f t="shared" si="3"/>
        <v>Linnatänavate uus disain</v>
      </c>
      <c r="B40" s="863">
        <f t="shared" si="6"/>
        <v>900</v>
      </c>
      <c r="C40" s="885">
        <f t="shared" si="5"/>
        <v>2.2499381555580169</v>
      </c>
      <c r="D40" s="863">
        <f t="shared" si="8"/>
        <v>4100</v>
      </c>
      <c r="E40" s="863">
        <f t="shared" si="4"/>
        <v>35400</v>
      </c>
      <c r="F40" s="863">
        <f t="shared" si="4"/>
        <v>10700</v>
      </c>
      <c r="G40" s="863">
        <f t="shared" si="4"/>
        <v>0</v>
      </c>
      <c r="H40" s="863">
        <f t="shared" si="9"/>
        <v>18000</v>
      </c>
      <c r="I40" s="863">
        <f t="shared" si="7"/>
        <v>-50</v>
      </c>
    </row>
    <row r="41" spans="1:9">
      <c r="A41" s="1023" t="str">
        <f t="shared" si="3"/>
        <v xml:space="preserve"> Kaugtöö, e-teenused</v>
      </c>
      <c r="B41" s="863">
        <f t="shared" si="6"/>
        <v>800</v>
      </c>
      <c r="C41" s="885">
        <f t="shared" si="5"/>
        <v>2.0191752678084773</v>
      </c>
      <c r="D41" s="863">
        <f t="shared" si="8"/>
        <v>310</v>
      </c>
      <c r="E41" s="863">
        <f t="shared" si="4"/>
        <v>31800</v>
      </c>
      <c r="F41" s="863">
        <f t="shared" si="4"/>
        <v>9600</v>
      </c>
      <c r="G41" s="863">
        <f t="shared" si="4"/>
        <v>0</v>
      </c>
      <c r="H41" s="863">
        <f t="shared" si="9"/>
        <v>18000</v>
      </c>
      <c r="I41" s="863">
        <f t="shared" si="7"/>
        <v>-40</v>
      </c>
    </row>
    <row r="42" spans="1:9">
      <c r="A42" s="1023" t="str">
        <f t="shared" si="3"/>
        <v>Raudtee elektrifit.</v>
      </c>
      <c r="B42" s="863">
        <f t="shared" si="6"/>
        <v>500</v>
      </c>
      <c r="C42" s="885">
        <f t="shared" si="5"/>
        <v>1.1202426450489673</v>
      </c>
      <c r="D42" s="863">
        <f t="shared" si="8"/>
        <v>6000</v>
      </c>
      <c r="E42" s="863">
        <f t="shared" si="4"/>
        <v>10000</v>
      </c>
      <c r="F42" s="863">
        <f t="shared" si="4"/>
        <v>1200</v>
      </c>
      <c r="G42" s="863">
        <f t="shared" si="4"/>
        <v>0</v>
      </c>
      <c r="H42" s="863">
        <f t="shared" si="9"/>
        <v>0</v>
      </c>
      <c r="I42" s="863">
        <f t="shared" si="7"/>
        <v>-10</v>
      </c>
    </row>
    <row r="43" spans="1:9">
      <c r="A43" s="1023" t="str">
        <f t="shared" si="3"/>
        <v>Veokite säästlikud rehvid</v>
      </c>
      <c r="B43" s="863">
        <f t="shared" si="6"/>
        <v>400</v>
      </c>
      <c r="C43" s="885">
        <f t="shared" si="5"/>
        <v>0.95008406371936616</v>
      </c>
      <c r="D43" s="863">
        <f t="shared" si="8"/>
        <v>9970</v>
      </c>
      <c r="E43" s="863">
        <f t="shared" si="4"/>
        <v>12500</v>
      </c>
      <c r="F43" s="863">
        <f t="shared" si="4"/>
        <v>4000</v>
      </c>
      <c r="G43" s="863">
        <f t="shared" si="4"/>
        <v>0</v>
      </c>
      <c r="H43" s="863">
        <f t="shared" si="9"/>
        <v>0</v>
      </c>
      <c r="I43" s="863">
        <f t="shared" si="7"/>
        <v>-10</v>
      </c>
    </row>
    <row r="44" spans="1:9">
      <c r="A44" s="1023" t="str">
        <f t="shared" si="3"/>
        <v>Kergliikluse arendamine</v>
      </c>
      <c r="B44" s="863">
        <f t="shared" si="6"/>
        <v>400</v>
      </c>
      <c r="C44" s="885">
        <f t="shared" si="5"/>
        <v>0.86536082906077583</v>
      </c>
      <c r="D44" s="863">
        <f>ROUND(D16,-3)</f>
        <v>14000</v>
      </c>
      <c r="E44" s="863">
        <f t="shared" si="4"/>
        <v>13600</v>
      </c>
      <c r="F44" s="863">
        <f t="shared" si="4"/>
        <v>4100</v>
      </c>
      <c r="G44" s="863">
        <f t="shared" si="4"/>
        <v>0</v>
      </c>
      <c r="H44" s="863">
        <f>ROUND(H16,-3)</f>
        <v>18000</v>
      </c>
      <c r="I44" s="863">
        <f t="shared" si="7"/>
        <v>-40</v>
      </c>
    </row>
    <row r="45" spans="1:9">
      <c r="A45" s="1023" t="str">
        <f t="shared" si="3"/>
        <v>Raskeveokite aerodünaamika</v>
      </c>
      <c r="B45" s="863">
        <f t="shared" si="6"/>
        <v>300</v>
      </c>
      <c r="C45" s="885">
        <f t="shared" si="5"/>
        <v>0.71256304778952495</v>
      </c>
      <c r="D45" s="863">
        <f>ROUND(D17,-3)</f>
        <v>7000</v>
      </c>
      <c r="E45" s="863">
        <f t="shared" si="4"/>
        <v>9300</v>
      </c>
      <c r="F45" s="863">
        <f t="shared" si="4"/>
        <v>3000</v>
      </c>
      <c r="G45" s="863">
        <f t="shared" si="4"/>
        <v>0</v>
      </c>
      <c r="H45">
        <v>0</v>
      </c>
      <c r="I45" s="863">
        <f t="shared" si="7"/>
        <v>-10</v>
      </c>
    </row>
    <row r="46" spans="1:9">
      <c r="A46" s="1023" t="str">
        <f t="shared" si="3"/>
        <v xml:space="preserve"> Raskeveokite teekasutustasud</v>
      </c>
      <c r="B46" s="863">
        <f t="shared" si="6"/>
        <v>300</v>
      </c>
      <c r="C46" s="885">
        <f t="shared" si="5"/>
        <v>0.71256304778952473</v>
      </c>
      <c r="D46" s="863">
        <f>ROUND(D18,-1)</f>
        <v>12000</v>
      </c>
      <c r="E46" s="863">
        <f t="shared" si="4"/>
        <v>9300</v>
      </c>
      <c r="F46" s="863">
        <f t="shared" si="4"/>
        <v>3000</v>
      </c>
      <c r="G46" s="863">
        <f t="shared" si="4"/>
        <v>60000</v>
      </c>
      <c r="H46" s="863">
        <f t="shared" si="9"/>
        <v>0</v>
      </c>
      <c r="I46" s="863">
        <f t="shared" si="7"/>
        <v>10</v>
      </c>
    </row>
    <row r="47" spans="1:9">
      <c r="A47" s="1023" t="str">
        <f t="shared" si="3"/>
        <v>ÜT kampaaniad ja otseturundus</v>
      </c>
      <c r="B47" s="863">
        <f t="shared" si="6"/>
        <v>200</v>
      </c>
      <c r="C47" s="885">
        <f t="shared" si="5"/>
        <v>0.57690721937385048</v>
      </c>
      <c r="D47" s="863">
        <f>ROUND(D19,-2)</f>
        <v>200</v>
      </c>
      <c r="E47" s="863">
        <f t="shared" si="4"/>
        <v>9100</v>
      </c>
      <c r="F47" s="863">
        <f t="shared" si="4"/>
        <v>2800</v>
      </c>
      <c r="G47" s="863">
        <f t="shared" si="4"/>
        <v>0</v>
      </c>
      <c r="H47" s="863">
        <f t="shared" si="9"/>
        <v>0</v>
      </c>
      <c r="I47" s="863">
        <f t="shared" si="7"/>
        <v>-40</v>
      </c>
    </row>
    <row r="48" spans="1:9">
      <c r="A48" s="1023" t="str">
        <f t="shared" si="3"/>
        <v>Linnade liikuvuskorraldus</v>
      </c>
      <c r="B48" s="863">
        <f t="shared" si="6"/>
        <v>200</v>
      </c>
      <c r="C48" s="885">
        <f t="shared" si="5"/>
        <v>0.47924998267515789</v>
      </c>
      <c r="D48" s="863">
        <f>ROUND(D20,-2)</f>
        <v>300</v>
      </c>
      <c r="E48" s="863">
        <f t="shared" si="4"/>
        <v>7500</v>
      </c>
      <c r="F48" s="863">
        <f t="shared" si="4"/>
        <v>2300</v>
      </c>
      <c r="G48" s="863">
        <f t="shared" si="4"/>
        <v>0</v>
      </c>
      <c r="H48" s="863">
        <f t="shared" si="9"/>
        <v>0</v>
      </c>
      <c r="I48" s="863">
        <f t="shared" si="7"/>
        <v>-40</v>
      </c>
    </row>
    <row r="49" spans="1:10">
      <c r="A49" s="1023" t="str">
        <f t="shared" si="3"/>
        <v>Autode kooskasutus</v>
      </c>
      <c r="B49" s="863">
        <f t="shared" si="6"/>
        <v>200</v>
      </c>
      <c r="C49" s="885">
        <f t="shared" si="5"/>
        <v>0.46152577549908042</v>
      </c>
      <c r="D49" s="863">
        <f>ROUND(D21,-2)</f>
        <v>100</v>
      </c>
      <c r="E49" s="863">
        <f t="shared" si="4"/>
        <v>7300</v>
      </c>
      <c r="F49" s="863">
        <f t="shared" si="4"/>
        <v>2200</v>
      </c>
      <c r="G49" s="863">
        <f t="shared" si="4"/>
        <v>0</v>
      </c>
      <c r="H49" s="863">
        <f t="shared" si="9"/>
        <v>0</v>
      </c>
      <c r="I49" s="863">
        <f t="shared" si="7"/>
        <v>-40</v>
      </c>
    </row>
    <row r="50" spans="1:10">
      <c r="A50" s="1023" t="str">
        <f t="shared" si="3"/>
        <v>Mitmemootorilised vedurid</v>
      </c>
      <c r="B50" s="863">
        <f t="shared" si="6"/>
        <v>200</v>
      </c>
      <c r="C50" s="885">
        <f t="shared" si="5"/>
        <v>0.45384677288188879</v>
      </c>
      <c r="D50" s="863">
        <f>ROUND(D22,-3)</f>
        <v>6000</v>
      </c>
      <c r="E50" s="863">
        <f t="shared" si="4"/>
        <v>3300</v>
      </c>
      <c r="F50" s="863">
        <f t="shared" si="4"/>
        <v>500</v>
      </c>
      <c r="G50" s="863">
        <f t="shared" si="4"/>
        <v>0</v>
      </c>
      <c r="H50" s="863">
        <f t="shared" si="9"/>
        <v>0</v>
      </c>
      <c r="I50" s="863">
        <f t="shared" si="7"/>
        <v>10</v>
      </c>
    </row>
    <row r="51" spans="1:10">
      <c r="A51" s="1023" t="str">
        <f t="shared" si="3"/>
        <v>Elektriautode soodustused</v>
      </c>
      <c r="B51" s="863">
        <f t="shared" si="6"/>
        <v>100</v>
      </c>
      <c r="C51" s="885">
        <f t="shared" si="5"/>
        <v>0.15661801209594806</v>
      </c>
      <c r="D51" s="863">
        <f>ROUND(D23,-3)</f>
        <v>6000</v>
      </c>
      <c r="E51" s="863">
        <f t="shared" si="4"/>
        <v>2500</v>
      </c>
      <c r="F51" s="863">
        <f t="shared" si="4"/>
        <v>700</v>
      </c>
      <c r="G51" s="863">
        <f t="shared" si="4"/>
        <v>0</v>
      </c>
      <c r="H51" s="863">
        <f t="shared" si="9"/>
        <v>0</v>
      </c>
      <c r="I51" s="863">
        <f t="shared" si="7"/>
        <v>50</v>
      </c>
    </row>
    <row r="52" spans="1:10">
      <c r="A52" s="1023" t="str">
        <f t="shared" si="3"/>
        <v>Kütusesäästlikud bussid</v>
      </c>
      <c r="B52" s="863">
        <f>ROUND(B24,-1)</f>
        <v>30</v>
      </c>
      <c r="C52" s="885">
        <f t="shared" si="5"/>
        <v>7.8885236652452881E-2</v>
      </c>
      <c r="D52" s="863">
        <f>ROUND(D24,-3)</f>
        <v>3000</v>
      </c>
      <c r="E52" s="863">
        <f t="shared" si="4"/>
        <v>1000</v>
      </c>
      <c r="F52" s="863">
        <f t="shared" si="4"/>
        <v>300</v>
      </c>
      <c r="G52" s="863">
        <f t="shared" si="4"/>
        <v>0</v>
      </c>
      <c r="H52" s="863">
        <f t="shared" si="9"/>
        <v>0</v>
      </c>
      <c r="I52" s="863">
        <f t="shared" si="7"/>
        <v>50</v>
      </c>
    </row>
    <row r="53" spans="1:10">
      <c r="A53" s="1023" t="str">
        <f t="shared" si="3"/>
        <v>&lt;12t veokite start-stop</v>
      </c>
      <c r="B53" s="863">
        <f>ROUND(B25,-1)</f>
        <v>20</v>
      </c>
      <c r="C53" s="954">
        <f t="shared" si="5"/>
        <v>4.0545542094701612E-2</v>
      </c>
      <c r="D53" s="863">
        <f>ROUND(D25,-2)</f>
        <v>200</v>
      </c>
      <c r="E53" s="863">
        <f t="shared" si="4"/>
        <v>500</v>
      </c>
      <c r="F53" s="863">
        <f t="shared" si="4"/>
        <v>200</v>
      </c>
      <c r="G53" s="863">
        <f t="shared" si="4"/>
        <v>0</v>
      </c>
      <c r="H53" s="863">
        <f t="shared" si="9"/>
        <v>0</v>
      </c>
      <c r="I53" s="863">
        <f t="shared" si="7"/>
        <v>-20</v>
      </c>
      <c r="J53">
        <v>-1</v>
      </c>
    </row>
    <row r="56" spans="1:10">
      <c r="A56" t="s">
        <v>539</v>
      </c>
      <c r="C56" s="885" t="s">
        <v>217</v>
      </c>
      <c r="D56" t="s">
        <v>540</v>
      </c>
    </row>
    <row r="57" spans="1:10">
      <c r="A57" t="s">
        <v>242</v>
      </c>
      <c r="B57">
        <v>4300</v>
      </c>
      <c r="C57" s="885">
        <v>10.389367599664142</v>
      </c>
      <c r="D57">
        <v>1500</v>
      </c>
    </row>
    <row r="58" spans="1:10">
      <c r="A58" t="s">
        <v>529</v>
      </c>
      <c r="B58">
        <v>2700</v>
      </c>
      <c r="C58" s="885">
        <v>6.5378970503588176</v>
      </c>
      <c r="D58">
        <v>2700</v>
      </c>
    </row>
    <row r="59" spans="1:10">
      <c r="A59" t="s">
        <v>527</v>
      </c>
      <c r="B59">
        <v>1700</v>
      </c>
      <c r="C59" s="885">
        <v>4.0383505356169547</v>
      </c>
    </row>
    <row r="60" spans="1:10">
      <c r="A60" t="s">
        <v>243</v>
      </c>
      <c r="B60">
        <v>1700</v>
      </c>
      <c r="C60" s="885">
        <v>4.0383505356169547</v>
      </c>
    </row>
    <row r="61" spans="1:10">
      <c r="A61" t="s">
        <v>538</v>
      </c>
      <c r="B61">
        <v>1200</v>
      </c>
      <c r="C61" s="885">
        <v>3.0231920015072551</v>
      </c>
      <c r="D61">
        <v>1000</v>
      </c>
    </row>
    <row r="62" spans="1:10">
      <c r="A62" t="s">
        <v>261</v>
      </c>
      <c r="B62">
        <v>1200</v>
      </c>
      <c r="C62" s="885">
        <v>2.9794570762104611</v>
      </c>
    </row>
    <row r="63" spans="1:10">
      <c r="A63" t="s">
        <v>531</v>
      </c>
      <c r="B63">
        <v>1200</v>
      </c>
      <c r="C63" s="885">
        <v>2.833715159387773</v>
      </c>
    </row>
    <row r="64" spans="1:10">
      <c r="A64" t="s">
        <v>525</v>
      </c>
      <c r="B64">
        <v>1100</v>
      </c>
      <c r="C64" s="885">
        <v>2.6999257866696187</v>
      </c>
      <c r="D64">
        <v>1100</v>
      </c>
    </row>
    <row r="65" spans="1:4">
      <c r="A65" t="s">
        <v>523</v>
      </c>
      <c r="B65">
        <v>1100</v>
      </c>
      <c r="C65" s="885">
        <v>2.6371756691286699</v>
      </c>
      <c r="D65">
        <v>1100</v>
      </c>
    </row>
    <row r="66" spans="1:4">
      <c r="A66" t="s">
        <v>524</v>
      </c>
      <c r="B66">
        <v>1000</v>
      </c>
      <c r="C66" s="885">
        <v>2.3614292994898118</v>
      </c>
    </row>
    <row r="67" spans="1:4">
      <c r="A67" t="s">
        <v>528</v>
      </c>
      <c r="B67">
        <v>900</v>
      </c>
      <c r="C67" s="885">
        <v>2.2499381555580169</v>
      </c>
      <c r="D67">
        <v>900</v>
      </c>
    </row>
    <row r="68" spans="1:4">
      <c r="A68" t="s">
        <v>233</v>
      </c>
      <c r="B68">
        <v>800</v>
      </c>
      <c r="C68" s="885">
        <v>2.0191752678084773</v>
      </c>
    </row>
    <row r="69" spans="1:4">
      <c r="A69" t="s">
        <v>533</v>
      </c>
      <c r="B69">
        <v>500</v>
      </c>
      <c r="C69" s="885">
        <v>1.1202426450489673</v>
      </c>
    </row>
    <row r="70" spans="1:4">
      <c r="A70" t="s">
        <v>534</v>
      </c>
      <c r="B70">
        <v>400</v>
      </c>
      <c r="C70" s="885">
        <v>0.95008406371936616</v>
      </c>
    </row>
    <row r="71" spans="1:4">
      <c r="A71" t="s">
        <v>526</v>
      </c>
      <c r="B71">
        <v>400</v>
      </c>
      <c r="C71" s="885">
        <v>0.86536082906077583</v>
      </c>
      <c r="D71">
        <v>400</v>
      </c>
    </row>
    <row r="72" spans="1:4">
      <c r="A72" t="s">
        <v>536</v>
      </c>
      <c r="B72">
        <v>300</v>
      </c>
      <c r="C72" s="885">
        <v>0.71256304778952495</v>
      </c>
    </row>
    <row r="73" spans="1:4">
      <c r="A73" t="s">
        <v>248</v>
      </c>
      <c r="B73">
        <v>300</v>
      </c>
      <c r="C73" s="885">
        <v>0.71256304778952473</v>
      </c>
    </row>
    <row r="74" spans="1:4">
      <c r="A74" t="s">
        <v>530</v>
      </c>
      <c r="B74">
        <v>200</v>
      </c>
      <c r="C74" s="885">
        <v>0.57690721937385048</v>
      </c>
      <c r="D74">
        <v>200</v>
      </c>
    </row>
    <row r="75" spans="1:4">
      <c r="A75" t="s">
        <v>268</v>
      </c>
      <c r="B75">
        <v>200</v>
      </c>
      <c r="C75" s="885">
        <v>0.47924998267515789</v>
      </c>
      <c r="D75">
        <v>200</v>
      </c>
    </row>
    <row r="76" spans="1:4">
      <c r="A76" t="s">
        <v>236</v>
      </c>
      <c r="B76">
        <v>200</v>
      </c>
      <c r="C76" s="885">
        <v>0.46152577549908042</v>
      </c>
      <c r="D76">
        <v>200</v>
      </c>
    </row>
    <row r="77" spans="1:4">
      <c r="A77" t="s">
        <v>535</v>
      </c>
      <c r="B77">
        <v>200</v>
      </c>
      <c r="C77" s="885">
        <v>0.45384677288188879</v>
      </c>
    </row>
    <row r="78" spans="1:4">
      <c r="A78" t="s">
        <v>249</v>
      </c>
      <c r="B78">
        <v>100</v>
      </c>
      <c r="C78" s="885">
        <v>0.15661801209594806</v>
      </c>
    </row>
    <row r="79" spans="1:4">
      <c r="A79" t="s">
        <v>256</v>
      </c>
      <c r="B79">
        <v>30</v>
      </c>
      <c r="C79" s="885">
        <v>7.8885236652452881E-2</v>
      </c>
      <c r="D79">
        <v>30</v>
      </c>
    </row>
    <row r="80" spans="1:4">
      <c r="A80" t="s">
        <v>532</v>
      </c>
      <c r="B80">
        <v>20</v>
      </c>
      <c r="C80">
        <v>4.0545542094701612E-2</v>
      </c>
      <c r="D80">
        <v>20</v>
      </c>
    </row>
    <row r="81" spans="2:4">
      <c r="B81">
        <f>SUM(B57:B80)-B59-B60-B66</f>
        <v>17350</v>
      </c>
      <c r="D81">
        <f>SUM(D57:D80)</f>
        <v>9350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6666"/>
  </sheetPr>
  <dimension ref="A1:Q45"/>
  <sheetViews>
    <sheetView workbookViewId="0">
      <pane ySplit="4" topLeftCell="A5" activePane="bottomLeft" state="frozen"/>
      <selection activeCell="A26" sqref="A26:XFD26"/>
      <selection pane="bottomLeft" activeCell="H12" sqref="H12"/>
    </sheetView>
  </sheetViews>
  <sheetFormatPr defaultColWidth="12.42578125" defaultRowHeight="15.75"/>
  <cols>
    <col min="1" max="1" width="3.42578125" style="207" bestFit="1" customWidth="1"/>
    <col min="2" max="2" width="39" style="207" customWidth="1"/>
    <col min="3" max="3" width="5.140625" style="207" bestFit="1" customWidth="1"/>
    <col min="4" max="4" width="5.140625" style="207" customWidth="1"/>
    <col min="5" max="5" width="9.140625" style="207" bestFit="1" customWidth="1"/>
    <col min="6" max="6" width="6.140625" style="207" bestFit="1" customWidth="1"/>
    <col min="7" max="7" width="6.140625" style="243" bestFit="1" customWidth="1"/>
    <col min="8" max="8" width="6.140625" style="1037" bestFit="1" customWidth="1"/>
    <col min="9" max="12" width="6.140625" style="243" bestFit="1" customWidth="1"/>
    <col min="13" max="13" width="8.140625" style="212" bestFit="1" customWidth="1"/>
    <col min="14" max="14" width="12.42578125" style="207"/>
    <col min="15" max="15" width="12.7109375" style="207" bestFit="1" customWidth="1"/>
    <col min="16" max="16384" width="12.42578125" style="207"/>
  </cols>
  <sheetData>
    <row r="1" spans="1:17">
      <c r="A1" s="207" t="s">
        <v>284</v>
      </c>
    </row>
    <row r="3" spans="1:17" s="203" customFormat="1">
      <c r="B3" s="203" t="s">
        <v>125</v>
      </c>
      <c r="G3" s="204"/>
      <c r="H3" s="1037"/>
      <c r="I3" s="205"/>
      <c r="J3" s="205"/>
      <c r="K3" s="205"/>
      <c r="L3" s="205"/>
      <c r="M3" s="206"/>
    </row>
    <row r="4" spans="1:17">
      <c r="B4" s="208"/>
      <c r="C4" s="209" t="s">
        <v>55</v>
      </c>
      <c r="D4" s="209">
        <v>2010</v>
      </c>
      <c r="E4" s="209">
        <v>2015</v>
      </c>
      <c r="F4" s="209">
        <v>2020</v>
      </c>
      <c r="G4" s="210">
        <v>2025</v>
      </c>
      <c r="H4" s="1038">
        <v>2030</v>
      </c>
      <c r="I4" s="210">
        <v>2035</v>
      </c>
      <c r="J4" s="210">
        <v>2040</v>
      </c>
      <c r="K4" s="210">
        <v>2045</v>
      </c>
      <c r="L4" s="211">
        <v>2050</v>
      </c>
    </row>
    <row r="5" spans="1:17">
      <c r="A5" s="207">
        <v>1</v>
      </c>
      <c r="B5" s="213" t="s">
        <v>59</v>
      </c>
      <c r="C5" s="213" t="s">
        <v>133</v>
      </c>
      <c r="D5" s="213"/>
      <c r="E5" s="1052">
        <f>[10]BAU!E5</f>
        <v>755.511772170462</v>
      </c>
      <c r="F5" s="1052">
        <f>[10]BAU!F5</f>
        <v>739.17321924320606</v>
      </c>
      <c r="G5" s="1052">
        <f>[10]BAU!G5</f>
        <v>803.66257412477125</v>
      </c>
      <c r="H5" s="1052">
        <f>[10]BAU!H5</f>
        <v>818.64239823710579</v>
      </c>
      <c r="I5" s="1052">
        <f>[10]BAU!I5</f>
        <v>843.59591597592839</v>
      </c>
      <c r="J5" s="1052">
        <f>[10]BAU!J5</f>
        <v>841.76191320193038</v>
      </c>
      <c r="K5" s="1052">
        <f>[10]BAU!K5</f>
        <v>835.31935273562476</v>
      </c>
      <c r="L5" s="1052">
        <f>[10]BAU!L5</f>
        <v>838.57229226931929</v>
      </c>
      <c r="M5" s="216"/>
      <c r="N5" s="207" t="s">
        <v>134</v>
      </c>
    </row>
    <row r="6" spans="1:17">
      <c r="A6" s="207">
        <v>2</v>
      </c>
      <c r="B6" s="217" t="s">
        <v>60</v>
      </c>
      <c r="C6" s="218" t="s">
        <v>133</v>
      </c>
      <c r="D6" s="218"/>
      <c r="E6" s="219">
        <f>[10]BAU!E6</f>
        <v>99.736849093538822</v>
      </c>
      <c r="F6" s="219">
        <f>[10]BAU!F6</f>
        <v>100.05695001243684</v>
      </c>
      <c r="G6" s="219">
        <f>[10]BAU!G6</f>
        <v>107.46717797092518</v>
      </c>
      <c r="H6" s="1040">
        <f>[10]BAU!H6</f>
        <v>114.87740592941347</v>
      </c>
      <c r="I6" s="219">
        <f>[10]BAU!I6</f>
        <v>117.84534546310783</v>
      </c>
      <c r="J6" s="219">
        <f>[10]BAU!J6</f>
        <v>120.8132849968022</v>
      </c>
      <c r="K6" s="219">
        <f>[10]BAU!K6</f>
        <v>123.78122453049656</v>
      </c>
      <c r="L6" s="220">
        <f>[10]BAU!L6</f>
        <v>126.74916406419092</v>
      </c>
      <c r="M6" s="221"/>
    </row>
    <row r="7" spans="1:17">
      <c r="A7" s="207">
        <v>3</v>
      </c>
      <c r="B7" s="222" t="s">
        <v>135</v>
      </c>
      <c r="C7" s="223" t="s">
        <v>133</v>
      </c>
      <c r="D7" s="223"/>
      <c r="E7" s="224">
        <f>[10]BAU!E7</f>
        <v>12.8</v>
      </c>
      <c r="F7" s="224">
        <f>[10]BAU!F7</f>
        <v>14.601778667555065</v>
      </c>
      <c r="G7" s="225">
        <f>[10]BAU!G7</f>
        <v>15.683187890128066</v>
      </c>
      <c r="H7" s="1041">
        <f>[10]BAU!H7</f>
        <v>16.764597112701065</v>
      </c>
      <c r="I7" s="225">
        <f>[10]BAU!I7</f>
        <v>17.197722409487593</v>
      </c>
      <c r="J7" s="225">
        <f>[10]BAU!J7</f>
        <v>17.630847706274125</v>
      </c>
      <c r="K7" s="225">
        <f>[10]BAU!K7</f>
        <v>18.063973003060656</v>
      </c>
      <c r="L7" s="225">
        <f>[10]BAU!L7</f>
        <v>18.497098299847185</v>
      </c>
      <c r="M7" s="226"/>
      <c r="N7" s="207" t="s">
        <v>136</v>
      </c>
    </row>
    <row r="8" spans="1:17">
      <c r="A8" s="207">
        <v>4</v>
      </c>
      <c r="B8" s="227" t="s">
        <v>137</v>
      </c>
      <c r="C8" s="223" t="s">
        <v>133</v>
      </c>
      <c r="D8" s="223"/>
      <c r="E8" s="224">
        <f>[10]BAU!E8</f>
        <v>70</v>
      </c>
      <c r="F8" s="224">
        <f>[10]BAU!F8</f>
        <v>66.055665400844333</v>
      </c>
      <c r="G8" s="225">
        <f>[10]BAU!G8</f>
        <v>70.947754741055533</v>
      </c>
      <c r="H8" s="1041">
        <f>[10]BAU!H8</f>
        <v>75.839844081266705</v>
      </c>
      <c r="I8" s="225">
        <f>[10]BAU!I8</f>
        <v>77.799220423872427</v>
      </c>
      <c r="J8" s="225">
        <f>[10]BAU!J8</f>
        <v>79.758596766478163</v>
      </c>
      <c r="K8" s="225">
        <f>[10]BAU!K8</f>
        <v>81.7179731090839</v>
      </c>
      <c r="L8" s="225">
        <f>[10]BAU!L8</f>
        <v>83.677349451689622</v>
      </c>
      <c r="M8" s="226"/>
      <c r="N8" s="207" t="s">
        <v>136</v>
      </c>
    </row>
    <row r="9" spans="1:17">
      <c r="A9" s="207">
        <v>5</v>
      </c>
      <c r="B9" s="227" t="s">
        <v>138</v>
      </c>
      <c r="C9" s="223" t="s">
        <v>133</v>
      </c>
      <c r="D9" s="223"/>
      <c r="E9" s="224">
        <f>[10]BAU!E9</f>
        <v>16.936849093538822</v>
      </c>
      <c r="F9" s="224">
        <f>[10]BAU!F9</f>
        <v>19.399505944037443</v>
      </c>
      <c r="G9" s="225">
        <f>[10]BAU!G9</f>
        <v>20.836235339741574</v>
      </c>
      <c r="H9" s="1041">
        <f>[10]BAU!H9</f>
        <v>22.272964735445701</v>
      </c>
      <c r="I9" s="225">
        <f>[10]BAU!I9</f>
        <v>22.848402629747802</v>
      </c>
      <c r="J9" s="225">
        <f>[10]BAU!J9</f>
        <v>23.423840524049908</v>
      </c>
      <c r="K9" s="225">
        <f>[10]BAU!K9</f>
        <v>23.999278418352013</v>
      </c>
      <c r="L9" s="225">
        <f>[10]BAU!L9</f>
        <v>24.574716312654115</v>
      </c>
      <c r="M9" s="226"/>
      <c r="N9" s="207" t="s">
        <v>136</v>
      </c>
    </row>
    <row r="10" spans="1:17">
      <c r="A10" s="207">
        <v>6</v>
      </c>
      <c r="B10" s="217" t="s">
        <v>61</v>
      </c>
      <c r="C10" s="218" t="s">
        <v>133</v>
      </c>
      <c r="D10" s="218"/>
      <c r="E10" s="219">
        <f>[10]BAU!E10</f>
        <v>0</v>
      </c>
      <c r="F10" s="219">
        <f>[10]BAU!F10</f>
        <v>0</v>
      </c>
      <c r="G10" s="219">
        <f>[10]BAU!G10</f>
        <v>26</v>
      </c>
      <c r="H10" s="1040">
        <f>[10]BAU!H10</f>
        <v>26</v>
      </c>
      <c r="I10" s="219">
        <f>[10]BAU!I10</f>
        <v>26</v>
      </c>
      <c r="J10" s="219">
        <f>[10]BAU!J10</f>
        <v>26</v>
      </c>
      <c r="K10" s="219">
        <f>[10]BAU!K10</f>
        <v>26</v>
      </c>
      <c r="L10" s="219">
        <f>[10]BAU!L10</f>
        <v>26</v>
      </c>
      <c r="M10" s="221"/>
    </row>
    <row r="11" spans="1:17">
      <c r="A11" s="207">
        <v>7</v>
      </c>
      <c r="B11" s="228" t="s">
        <v>139</v>
      </c>
      <c r="C11" s="229" t="s">
        <v>133</v>
      </c>
      <c r="D11" s="229"/>
      <c r="E11" s="230">
        <f>[10]BAU!E11</f>
        <v>0</v>
      </c>
      <c r="F11" s="230">
        <f>[10]BAU!F11</f>
        <v>0</v>
      </c>
      <c r="G11" s="230">
        <f>[10]BAU!G11</f>
        <v>26</v>
      </c>
      <c r="H11" s="1042">
        <f>[10]BAU!H11</f>
        <v>26</v>
      </c>
      <c r="I11" s="230">
        <f>[10]BAU!I11</f>
        <v>26</v>
      </c>
      <c r="J11" s="230">
        <f>[10]BAU!J11</f>
        <v>26</v>
      </c>
      <c r="K11" s="230">
        <f>[10]BAU!K11</f>
        <v>26</v>
      </c>
      <c r="L11" s="230">
        <f>[10]BAU!L11</f>
        <v>26</v>
      </c>
      <c r="N11" s="207" t="s">
        <v>140</v>
      </c>
    </row>
    <row r="12" spans="1:17">
      <c r="A12" s="207">
        <v>8</v>
      </c>
      <c r="B12" s="228" t="s">
        <v>141</v>
      </c>
      <c r="C12" s="229" t="s">
        <v>133</v>
      </c>
      <c r="D12" s="229"/>
      <c r="E12" s="230">
        <f>[10]BAU!E12</f>
        <v>0</v>
      </c>
      <c r="F12" s="230">
        <f>[10]BAU!F12</f>
        <v>0</v>
      </c>
      <c r="G12" s="230">
        <f>[10]BAU!G12</f>
        <v>0</v>
      </c>
      <c r="H12" s="1042">
        <f>[10]BAU!H12</f>
        <v>0</v>
      </c>
      <c r="I12" s="230">
        <f>[10]BAU!I12</f>
        <v>0</v>
      </c>
      <c r="J12" s="230">
        <f>[10]BAU!J12</f>
        <v>0</v>
      </c>
      <c r="K12" s="230">
        <f>[10]BAU!K12</f>
        <v>0</v>
      </c>
      <c r="L12" s="230">
        <f>[10]BAU!L12</f>
        <v>0</v>
      </c>
    </row>
    <row r="13" spans="1:17">
      <c r="A13" s="207">
        <v>9</v>
      </c>
      <c r="B13" s="710" t="s">
        <v>280</v>
      </c>
      <c r="C13" s="218"/>
      <c r="D13" s="218"/>
      <c r="E13" s="219">
        <f>[10]BAU!E13</f>
        <v>655.77492307692319</v>
      </c>
      <c r="F13" s="219">
        <f>[10]BAU!F13</f>
        <v>639.11626923076926</v>
      </c>
      <c r="G13" s="219">
        <f>[10]BAU!G13</f>
        <v>670.1953961538461</v>
      </c>
      <c r="H13" s="1040">
        <f>[10]BAU!H13</f>
        <v>677.7649923076923</v>
      </c>
      <c r="I13" s="219">
        <f>[10]BAU!I13</f>
        <v>699.75057051282056</v>
      </c>
      <c r="J13" s="219">
        <f>[10]BAU!J13</f>
        <v>694.94862820512822</v>
      </c>
      <c r="K13" s="219">
        <f>[10]BAU!K13</f>
        <v>685.53812820512826</v>
      </c>
      <c r="L13" s="219">
        <f>[10]BAU!L13</f>
        <v>685.82312820512834</v>
      </c>
      <c r="M13" s="221"/>
    </row>
    <row r="14" spans="1:17">
      <c r="A14" s="207">
        <v>10</v>
      </c>
      <c r="B14" s="227" t="s">
        <v>277</v>
      </c>
      <c r="C14" s="223" t="s">
        <v>133</v>
      </c>
      <c r="D14" s="223"/>
      <c r="E14" s="229">
        <f>[10]BAU!E14</f>
        <v>135.76530769230772</v>
      </c>
      <c r="F14" s="229">
        <f>[10]BAU!F14</f>
        <v>146.1499230769231</v>
      </c>
      <c r="G14" s="229">
        <f>[10]BAU!G14</f>
        <v>166.51991538461539</v>
      </c>
      <c r="H14" s="1043">
        <f>[10]BAU!H14</f>
        <v>177.22653076923078</v>
      </c>
      <c r="I14" s="229">
        <f>[10]BAU!I14</f>
        <v>195.4260512820513</v>
      </c>
      <c r="J14" s="229">
        <f>[10]BAU!J14</f>
        <v>202.06882051282051</v>
      </c>
      <c r="K14" s="229">
        <f>[10]BAU!K14</f>
        <v>202.22082051282052</v>
      </c>
      <c r="L14" s="229">
        <f>[10]BAU!L14</f>
        <v>202.50582051282055</v>
      </c>
      <c r="N14" s="207" t="s">
        <v>136</v>
      </c>
      <c r="Q14" s="231"/>
    </row>
    <row r="15" spans="1:17">
      <c r="A15" s="207">
        <v>11</v>
      </c>
      <c r="B15" s="227" t="s">
        <v>278</v>
      </c>
      <c r="C15" s="223" t="s">
        <v>133</v>
      </c>
      <c r="D15" s="223"/>
      <c r="E15" s="229">
        <f>[10]BAU!E15</f>
        <v>271.38461538461542</v>
      </c>
      <c r="F15" s="229">
        <f>[10]BAU!F15</f>
        <v>292.15384615384613</v>
      </c>
      <c r="G15" s="229">
        <f>[10]BAU!G15</f>
        <v>326.76923076923077</v>
      </c>
      <c r="H15" s="1043">
        <f>[10]BAU!H15</f>
        <v>347.53846153846155</v>
      </c>
      <c r="I15" s="229">
        <f>[10]BAU!I15</f>
        <v>375.23076923076928</v>
      </c>
      <c r="J15" s="229">
        <f>[10]BAU!J15</f>
        <v>387.69230769230774</v>
      </c>
      <c r="K15" s="229">
        <f>[10]BAU!K15</f>
        <v>387.69230769230774</v>
      </c>
      <c r="L15" s="229">
        <f>[10]BAU!L15</f>
        <v>387.69230769230774</v>
      </c>
      <c r="N15" s="207" t="s">
        <v>136</v>
      </c>
    </row>
    <row r="16" spans="1:17">
      <c r="A16" s="207">
        <v>12</v>
      </c>
      <c r="B16" s="227" t="s">
        <v>279</v>
      </c>
      <c r="C16" s="223" t="s">
        <v>133</v>
      </c>
      <c r="D16" s="223"/>
      <c r="E16" s="229">
        <f>[10]BAU!E16</f>
        <v>175.5</v>
      </c>
      <c r="F16" s="229">
        <f>[10]BAU!F16</f>
        <v>141.75</v>
      </c>
      <c r="G16" s="229">
        <f>[10]BAU!G16</f>
        <v>124.875</v>
      </c>
      <c r="H16" s="1043">
        <f>[10]BAU!H16</f>
        <v>108</v>
      </c>
      <c r="I16" s="229">
        <f>[10]BAU!I16</f>
        <v>91.125</v>
      </c>
      <c r="J16" s="229">
        <f>[10]BAU!J16</f>
        <v>74.25</v>
      </c>
      <c r="K16" s="229">
        <f>[10]BAU!K16</f>
        <v>67.5</v>
      </c>
      <c r="L16" s="229">
        <f>[10]BAU!L16</f>
        <v>67.5</v>
      </c>
      <c r="N16" s="207" t="s">
        <v>136</v>
      </c>
    </row>
    <row r="17" spans="1:17">
      <c r="A17" s="207">
        <v>13</v>
      </c>
      <c r="B17" s="227" t="s">
        <v>281</v>
      </c>
      <c r="C17" s="223" t="s">
        <v>133</v>
      </c>
      <c r="D17" s="223"/>
      <c r="E17" s="229">
        <f>[10]BAU!E17</f>
        <v>73.125</v>
      </c>
      <c r="F17" s="229">
        <f>[10]BAU!F17</f>
        <v>59.0625</v>
      </c>
      <c r="G17" s="229">
        <f>[10]BAU!G17</f>
        <v>52.03125</v>
      </c>
      <c r="H17" s="1043">
        <f>[10]BAU!H17</f>
        <v>45</v>
      </c>
      <c r="I17" s="229">
        <f>[10]BAU!I17</f>
        <v>37.96875</v>
      </c>
      <c r="J17" s="229">
        <f>[10]BAU!J17</f>
        <v>30.9375</v>
      </c>
      <c r="K17" s="229">
        <f>[10]BAU!K17</f>
        <v>28.125</v>
      </c>
      <c r="L17" s="229">
        <f>[10]BAU!L17</f>
        <v>28.125</v>
      </c>
      <c r="N17" s="207" t="s">
        <v>136</v>
      </c>
    </row>
    <row r="18" spans="1:17">
      <c r="A18" s="207">
        <v>14</v>
      </c>
      <c r="B18" s="213" t="s">
        <v>144</v>
      </c>
      <c r="C18" s="213" t="s">
        <v>133</v>
      </c>
      <c r="D18" s="213"/>
      <c r="E18" s="214">
        <f>[10]BAU!E18</f>
        <v>495.58050797364155</v>
      </c>
      <c r="F18" s="214">
        <f>[10]BAU!F18</f>
        <v>552.24536713194027</v>
      </c>
      <c r="G18" s="214">
        <f>[10]BAU!G18</f>
        <v>601.71662744519654</v>
      </c>
      <c r="H18" s="1039">
        <f>[10]BAU!H18</f>
        <v>642.959957649687</v>
      </c>
      <c r="I18" s="214">
        <f>[10]BAU!I18</f>
        <v>663.23486768314353</v>
      </c>
      <c r="J18" s="214">
        <f>[10]BAU!J18</f>
        <v>681.26509871660016</v>
      </c>
      <c r="K18" s="214">
        <f>[10]BAU!K18</f>
        <v>695.80456235005681</v>
      </c>
      <c r="L18" s="214">
        <f>[10]BAU!L18</f>
        <v>710.1138447835134</v>
      </c>
      <c r="M18" s="216"/>
      <c r="P18" s="232"/>
      <c r="Q18" s="232"/>
    </row>
    <row r="19" spans="1:17">
      <c r="A19" s="207">
        <v>15</v>
      </c>
      <c r="B19" s="217" t="s">
        <v>60</v>
      </c>
      <c r="C19" s="218" t="s">
        <v>133</v>
      </c>
      <c r="D19" s="218"/>
      <c r="E19" s="219">
        <f>[10]BAU!E19</f>
        <v>205.60527364030821</v>
      </c>
      <c r="F19" s="219">
        <f>[10]BAU!F19</f>
        <v>206.68470042527346</v>
      </c>
      <c r="G19" s="219">
        <f>[10]BAU!G19</f>
        <v>229.23359072390684</v>
      </c>
      <c r="H19" s="1040">
        <f>[10]BAU!H19</f>
        <v>251.78248102254022</v>
      </c>
      <c r="I19" s="219">
        <f>[10]BAU!I19</f>
        <v>256.36589837583659</v>
      </c>
      <c r="J19" s="219">
        <f>[10]BAU!J19</f>
        <v>260.94931572913299</v>
      </c>
      <c r="K19" s="219">
        <f>[10]BAU!K19</f>
        <v>265.53273308242939</v>
      </c>
      <c r="L19" s="220">
        <f>[10]BAU!L19</f>
        <v>270.11615043572579</v>
      </c>
      <c r="M19" s="221"/>
      <c r="O19" s="233"/>
    </row>
    <row r="20" spans="1:17">
      <c r="A20" s="207">
        <v>16</v>
      </c>
      <c r="B20" s="227" t="s">
        <v>137</v>
      </c>
      <c r="C20" s="223" t="s">
        <v>133</v>
      </c>
      <c r="D20" s="223"/>
      <c r="E20" s="234">
        <f>[10]BAU!E20</f>
        <v>161</v>
      </c>
      <c r="F20" s="234">
        <f>[10]BAU!F20</f>
        <v>155.57847508883074</v>
      </c>
      <c r="G20" s="235">
        <f>[10]BAU!G20</f>
        <v>174.34243310845864</v>
      </c>
      <c r="H20" s="1042">
        <f>[10]BAU!H20</f>
        <v>193.1063911280865</v>
      </c>
      <c r="I20" s="235">
        <f>[10]BAU!I20</f>
        <v>196.17386994263003</v>
      </c>
      <c r="J20" s="235">
        <f>[10]BAU!J20</f>
        <v>199.2413487571736</v>
      </c>
      <c r="K20" s="235">
        <f>[10]BAU!K20</f>
        <v>202.3088275717171</v>
      </c>
      <c r="L20" s="235">
        <f>[10]BAU!L20</f>
        <v>205.37630638626067</v>
      </c>
      <c r="M20" s="236"/>
      <c r="N20" s="237" t="s">
        <v>145</v>
      </c>
    </row>
    <row r="21" spans="1:17">
      <c r="A21" s="207">
        <v>17</v>
      </c>
      <c r="B21" s="227" t="s">
        <v>146</v>
      </c>
      <c r="C21" s="223" t="s">
        <v>133</v>
      </c>
      <c r="D21" s="223"/>
      <c r="E21" s="234">
        <f>[10]BAU!E21</f>
        <v>44.605273640308226</v>
      </c>
      <c r="F21" s="234">
        <f>[10]BAU!F21</f>
        <v>51.106225336442719</v>
      </c>
      <c r="G21" s="235">
        <f>[10]BAU!G21</f>
        <v>54.891157615448222</v>
      </c>
      <c r="H21" s="1042">
        <f>[10]BAU!H21</f>
        <v>58.676089894453717</v>
      </c>
      <c r="I21" s="235">
        <f>[10]BAU!I21</f>
        <v>60.192028433206566</v>
      </c>
      <c r="J21" s="235">
        <f>[10]BAU!J21</f>
        <v>61.707966971959422</v>
      </c>
      <c r="K21" s="235">
        <f>[10]BAU!K21</f>
        <v>63.223905510712285</v>
      </c>
      <c r="L21" s="235">
        <f>[10]BAU!L21</f>
        <v>64.739844049465134</v>
      </c>
      <c r="M21" s="236"/>
      <c r="N21" s="207" t="s">
        <v>147</v>
      </c>
    </row>
    <row r="22" spans="1:17">
      <c r="A22" s="207">
        <v>18</v>
      </c>
      <c r="B22" s="217" t="s">
        <v>61</v>
      </c>
      <c r="C22" s="218" t="s">
        <v>133</v>
      </c>
      <c r="D22" s="218"/>
      <c r="E22" s="219">
        <f>[10]BAU!E22</f>
        <v>17.567250000000001</v>
      </c>
      <c r="F22" s="219">
        <f>[10]BAU!F22</f>
        <v>37.567250000000001</v>
      </c>
      <c r="G22" s="219">
        <f>[10]BAU!G22</f>
        <v>40.975137934622964</v>
      </c>
      <c r="H22" s="1040">
        <f>[10]BAU!H22</f>
        <v>41.13049656048004</v>
      </c>
      <c r="I22" s="219">
        <f>[10]BAU!I22</f>
        <v>41.425372173973585</v>
      </c>
      <c r="J22" s="219">
        <f>[10]BAU!J22</f>
        <v>41.720247787467144</v>
      </c>
      <c r="K22" s="219">
        <f>[10]BAU!K22</f>
        <v>42.01512340096069</v>
      </c>
      <c r="L22" s="219">
        <f>[10]BAU!L22</f>
        <v>42.309999014454249</v>
      </c>
      <c r="M22" s="221"/>
    </row>
    <row r="23" spans="1:17">
      <c r="A23" s="207">
        <v>19</v>
      </c>
      <c r="B23" s="227" t="s">
        <v>139</v>
      </c>
      <c r="C23" s="223" t="s">
        <v>133</v>
      </c>
      <c r="D23" s="223"/>
      <c r="E23" s="234">
        <f>[10]BAU!E23</f>
        <v>0</v>
      </c>
      <c r="F23" s="234">
        <f>[10]BAU!F23</f>
        <v>0</v>
      </c>
      <c r="G23" s="225">
        <f>[10]BAU!G23</f>
        <v>3.3</v>
      </c>
      <c r="H23" s="1041">
        <f>[10]BAU!H23</f>
        <v>3.3474706912341046</v>
      </c>
      <c r="I23" s="225">
        <f>[10]BAU!I23</f>
        <v>3.4006449821919582</v>
      </c>
      <c r="J23" s="225">
        <f>[10]BAU!J23</f>
        <v>3.4538192731498119</v>
      </c>
      <c r="K23" s="225">
        <f>[10]BAU!K23</f>
        <v>3.5069935641076659</v>
      </c>
      <c r="L23" s="225">
        <f>[10]BAU!L23</f>
        <v>3.56016785506552</v>
      </c>
      <c r="M23" s="238"/>
      <c r="N23" s="237" t="s">
        <v>148</v>
      </c>
    </row>
    <row r="24" spans="1:17">
      <c r="A24" s="207">
        <v>20</v>
      </c>
      <c r="B24" s="227" t="s">
        <v>149</v>
      </c>
      <c r="C24" s="223" t="s">
        <v>133</v>
      </c>
      <c r="D24" s="223"/>
      <c r="E24" s="224">
        <f>[10]BAU!E24</f>
        <v>15</v>
      </c>
      <c r="F24" s="224">
        <f>[10]BAU!F24</f>
        <v>15</v>
      </c>
      <c r="G24" s="225">
        <f>[10]BAU!G24</f>
        <v>15.107887934622964</v>
      </c>
      <c r="H24" s="1041">
        <f>[10]BAU!H24</f>
        <v>15.215775869245929</v>
      </c>
      <c r="I24" s="225">
        <f>[10]BAU!I24</f>
        <v>15.45747719178163</v>
      </c>
      <c r="J24" s="225">
        <f>[10]BAU!J24</f>
        <v>15.699178514317328</v>
      </c>
      <c r="K24" s="225">
        <f>[10]BAU!K24</f>
        <v>15.940879836853027</v>
      </c>
      <c r="L24" s="225">
        <f>[10]BAU!L24</f>
        <v>16.182581159388729</v>
      </c>
      <c r="M24" s="236"/>
      <c r="N24" s="237" t="s">
        <v>148</v>
      </c>
    </row>
    <row r="25" spans="1:17">
      <c r="A25" s="207">
        <v>21</v>
      </c>
      <c r="B25" s="227" t="s">
        <v>150</v>
      </c>
      <c r="C25" s="223" t="s">
        <v>133</v>
      </c>
      <c r="D25" s="223"/>
      <c r="E25" s="239">
        <f>[10]BAU!E25</f>
        <v>2.5672499999999996</v>
      </c>
      <c r="F25" s="239">
        <f>[10]BAU!F25</f>
        <v>22.567250000000001</v>
      </c>
      <c r="G25" s="239">
        <f>[10]BAU!G25</f>
        <v>22.567250000000001</v>
      </c>
      <c r="H25" s="1044">
        <f>[10]BAU!H25</f>
        <v>22.567250000000001</v>
      </c>
      <c r="I25" s="239">
        <f>[10]BAU!I25</f>
        <v>22.567250000000001</v>
      </c>
      <c r="J25" s="239">
        <f>[10]BAU!J25</f>
        <v>22.567250000000001</v>
      </c>
      <c r="K25" s="239">
        <f>[10]BAU!K25</f>
        <v>22.567250000000001</v>
      </c>
      <c r="L25" s="239">
        <f>[10]BAU!L25</f>
        <v>22.567250000000001</v>
      </c>
    </row>
    <row r="26" spans="1:17">
      <c r="B26" s="804" t="s">
        <v>288</v>
      </c>
      <c r="C26" s="805"/>
      <c r="D26" s="805"/>
      <c r="E26" s="1046">
        <f>[10]BAU!E26</f>
        <v>272.40798433333333</v>
      </c>
      <c r="F26" s="1046">
        <f>[10]BAU!F26</f>
        <v>307.99341670666678</v>
      </c>
      <c r="G26" s="1046">
        <f>[10]BAU!G26</f>
        <v>331.50789878666671</v>
      </c>
      <c r="H26" s="1047">
        <f>[10]BAU!H26</f>
        <v>350.04698006666672</v>
      </c>
      <c r="I26" s="1046">
        <f>[10]BAU!I26</f>
        <v>365.44359713333336</v>
      </c>
      <c r="J26" s="1046">
        <f>[10]BAU!J26</f>
        <v>378.59553520000003</v>
      </c>
      <c r="K26" s="1046">
        <f>[10]BAU!K26</f>
        <v>388.25670586666666</v>
      </c>
      <c r="L26" s="1046">
        <f>[10]BAU!L26</f>
        <v>397.68769533333335</v>
      </c>
    </row>
    <row r="27" spans="1:17">
      <c r="B27" s="806" t="s">
        <v>289</v>
      </c>
      <c r="C27" s="807" t="s">
        <v>133</v>
      </c>
      <c r="D27" s="807"/>
      <c r="E27" s="807">
        <f>[10]BAU!E27</f>
        <v>21.818916000000002</v>
      </c>
      <c r="F27" s="807">
        <f>[10]BAU!F27</f>
        <v>23.488731000000001</v>
      </c>
      <c r="G27" s="807">
        <f>[10]BAU!G27</f>
        <v>26.271756</v>
      </c>
      <c r="H27" s="1048">
        <f>[10]BAU!H27</f>
        <v>27.941571</v>
      </c>
      <c r="I27" s="807">
        <f>[10]BAU!I27</f>
        <v>30.167991000000001</v>
      </c>
      <c r="J27" s="807">
        <f>[10]BAU!J27</f>
        <v>31.169879999999999</v>
      </c>
      <c r="K27" s="807">
        <f>[10]BAU!K27</f>
        <v>31.169879999999999</v>
      </c>
      <c r="L27" s="807">
        <f>[10]BAU!L27</f>
        <v>31.169879999999999</v>
      </c>
    </row>
    <row r="28" spans="1:17">
      <c r="B28" s="806" t="s">
        <v>290</v>
      </c>
      <c r="C28" s="807" t="s">
        <v>133</v>
      </c>
      <c r="D28" s="807"/>
      <c r="E28" s="1049">
        <f>[10]BAU!E28</f>
        <v>250.48049600000002</v>
      </c>
      <c r="F28" s="1049">
        <f>[10]BAU!F28</f>
        <v>284.37155600000006</v>
      </c>
      <c r="G28" s="1049">
        <f>[10]BAU!G28</f>
        <v>304.40933600000005</v>
      </c>
      <c r="H28" s="1050">
        <f>[10]BAU!H28</f>
        <v>320.48903600000006</v>
      </c>
      <c r="I28" s="1049">
        <f>[10]BAU!I28</f>
        <v>331.86851600000006</v>
      </c>
      <c r="J28" s="1049">
        <f>[10]BAU!J28</f>
        <v>342.11004800000006</v>
      </c>
      <c r="K28" s="1049">
        <f>[10]BAU!K28</f>
        <v>349.77882800000003</v>
      </c>
      <c r="L28" s="1049">
        <f>[10]BAU!L28</f>
        <v>357.20022800000004</v>
      </c>
    </row>
    <row r="29" spans="1:17">
      <c r="B29" s="806" t="s">
        <v>291</v>
      </c>
      <c r="C29" s="807" t="s">
        <v>133</v>
      </c>
      <c r="D29" s="807"/>
      <c r="E29" s="807">
        <f>[10]BAU!E29</f>
        <v>0.10857233333333334</v>
      </c>
      <c r="F29" s="807">
        <f>[10]BAU!F29</f>
        <v>0.13312970666666665</v>
      </c>
      <c r="G29" s="807">
        <f>[10]BAU!G29</f>
        <v>0.82680678666666663</v>
      </c>
      <c r="H29" s="1048">
        <f>[10]BAU!H29</f>
        <v>1.6163730666666669</v>
      </c>
      <c r="I29" s="807">
        <f>[10]BAU!I29</f>
        <v>3.4070901333333339</v>
      </c>
      <c r="J29" s="807">
        <f>[10]BAU!J29</f>
        <v>5.3156072000000014</v>
      </c>
      <c r="K29" s="807">
        <f>[10]BAU!K29</f>
        <v>7.3079978666666685</v>
      </c>
      <c r="L29" s="807">
        <f>[10]BAU!L29</f>
        <v>9.3175873333333357</v>
      </c>
    </row>
    <row r="30" spans="1:17">
      <c r="A30" s="207">
        <v>22</v>
      </c>
      <c r="B30" s="213" t="s">
        <v>65</v>
      </c>
      <c r="C30" s="213" t="s">
        <v>133</v>
      </c>
      <c r="D30" s="213"/>
      <c r="E30" s="214">
        <f>[10]BAU!E30</f>
        <v>80.697777436650398</v>
      </c>
      <c r="F30" s="214">
        <f>[10]BAU!F30</f>
        <v>90.391963180102778</v>
      </c>
      <c r="G30" s="214">
        <f>[10]BAU!G30</f>
        <v>89.674422400462191</v>
      </c>
      <c r="H30" s="1039">
        <f>[10]BAU!H30</f>
        <v>87.327340001105114</v>
      </c>
      <c r="I30" s="214">
        <f>[10]BAU!I30</f>
        <v>85.42777361213966</v>
      </c>
      <c r="J30" s="214">
        <f>[10]BAU!J30</f>
        <v>84.381662692585735</v>
      </c>
      <c r="K30" s="214">
        <f>[10]BAU!K30</f>
        <v>84.119718263376143</v>
      </c>
      <c r="L30" s="215">
        <f>[10]BAU!L30</f>
        <v>84.604209284828102</v>
      </c>
      <c r="M30" s="216"/>
    </row>
    <row r="31" spans="1:17">
      <c r="A31" s="207">
        <v>23</v>
      </c>
      <c r="B31" s="240" t="s">
        <v>66</v>
      </c>
      <c r="C31" s="223" t="s">
        <v>133</v>
      </c>
      <c r="D31" s="223"/>
      <c r="E31" s="234">
        <f>[10]BAU!E31</f>
        <v>16.808271672135472</v>
      </c>
      <c r="F31" s="234">
        <f>[10]BAU!F31</f>
        <v>20.859683810792948</v>
      </c>
      <c r="G31" s="235">
        <f>[10]BAU!G31</f>
        <v>21.856191028763007</v>
      </c>
      <c r="H31" s="1042">
        <f>[10]BAU!H31</f>
        <v>22.852698246733063</v>
      </c>
      <c r="I31" s="235">
        <f>[10]BAU!I31</f>
        <v>23.337189268185032</v>
      </c>
      <c r="J31" s="235">
        <f>[10]BAU!J31</f>
        <v>23.821680289636994</v>
      </c>
      <c r="K31" s="235">
        <f>[10]BAU!K31</f>
        <v>24.306171311088956</v>
      </c>
      <c r="L31" s="235">
        <f>[10]BAU!L31</f>
        <v>24.790662332540911</v>
      </c>
      <c r="M31" s="236">
        <v>0.13</v>
      </c>
      <c r="N31" s="207" t="s">
        <v>151</v>
      </c>
    </row>
    <row r="32" spans="1:17">
      <c r="A32" s="207">
        <v>24</v>
      </c>
      <c r="B32" s="240" t="s">
        <v>152</v>
      </c>
      <c r="C32" s="223" t="s">
        <v>133</v>
      </c>
      <c r="D32" s="223"/>
      <c r="E32" s="234">
        <f>[10]BAU!E32</f>
        <v>19.609650284158047</v>
      </c>
      <c r="F32" s="234">
        <f>[10]BAU!F32</f>
        <v>26.074604763491184</v>
      </c>
      <c r="G32" s="225">
        <f>[10]BAU!G32</f>
        <v>25.431836764387192</v>
      </c>
      <c r="H32" s="1041">
        <f>[10]BAU!H32</f>
        <v>24.177990657889524</v>
      </c>
      <c r="I32" s="225">
        <f>[10]BAU!I32</f>
        <v>23.283969128982989</v>
      </c>
      <c r="J32" s="225">
        <f>[10]BAU!J32</f>
        <v>22.709993401105777</v>
      </c>
      <c r="K32" s="225">
        <f>[10]BAU!K32</f>
        <v>22.430080107107699</v>
      </c>
      <c r="L32" s="225">
        <f>[10]BAU!L32</f>
        <v>22.430080107107699</v>
      </c>
      <c r="M32" s="236"/>
      <c r="N32" s="207" t="s">
        <v>153</v>
      </c>
    </row>
    <row r="33" spans="1:14">
      <c r="A33" s="207">
        <v>25</v>
      </c>
      <c r="B33" s="241" t="s">
        <v>154</v>
      </c>
      <c r="C33" s="223" t="s">
        <v>133</v>
      </c>
      <c r="D33" s="223"/>
      <c r="E33" s="234">
        <f>[10]BAU!E33</f>
        <v>44.279855480356886</v>
      </c>
      <c r="F33" s="234">
        <f>[10]BAU!F33</f>
        <v>43.457674605818639</v>
      </c>
      <c r="G33" s="235">
        <f>[10]BAU!G33</f>
        <v>42.386394607311985</v>
      </c>
      <c r="H33" s="1042">
        <f>[10]BAU!H33</f>
        <v>40.296651096482535</v>
      </c>
      <c r="I33" s="225">
        <f>[10]BAU!I33</f>
        <v>38.806615214971643</v>
      </c>
      <c r="J33" s="225">
        <f>[10]BAU!J33</f>
        <v>37.849989001842957</v>
      </c>
      <c r="K33" s="225">
        <f>[10]BAU!K33</f>
        <v>37.383466845179491</v>
      </c>
      <c r="L33" s="225">
        <f>[10]BAU!L33</f>
        <v>37.383466845179491</v>
      </c>
      <c r="M33" s="236"/>
      <c r="N33" s="207" t="s">
        <v>155</v>
      </c>
    </row>
    <row r="34" spans="1:14">
      <c r="D34" s="242"/>
      <c r="E34" s="231"/>
      <c r="F34" s="231"/>
      <c r="G34" s="231"/>
      <c r="H34" s="1045"/>
      <c r="I34" s="231"/>
      <c r="J34" s="231"/>
      <c r="K34" s="231"/>
      <c r="L34" s="231"/>
    </row>
    <row r="35" spans="1:14">
      <c r="D35" s="242"/>
      <c r="E35" s="231"/>
      <c r="F35" s="231"/>
      <c r="G35" s="231"/>
      <c r="H35" s="1045"/>
      <c r="I35" s="231"/>
      <c r="J35" s="231"/>
      <c r="K35" s="231"/>
      <c r="L35" s="231"/>
    </row>
    <row r="36" spans="1:14">
      <c r="D36" s="242"/>
      <c r="E36" s="231"/>
      <c r="F36" s="231"/>
      <c r="G36" s="231"/>
      <c r="H36" s="1045"/>
      <c r="I36" s="231"/>
      <c r="J36" s="231"/>
      <c r="K36" s="231"/>
      <c r="L36" s="231"/>
    </row>
    <row r="37" spans="1:14">
      <c r="D37" s="242"/>
      <c r="E37" s="231"/>
      <c r="F37" s="231"/>
      <c r="G37" s="231"/>
      <c r="H37" s="1045"/>
      <c r="I37" s="231"/>
      <c r="J37" s="231"/>
      <c r="K37" s="231"/>
      <c r="L37" s="231"/>
    </row>
    <row r="38" spans="1:14">
      <c r="D38" s="242"/>
      <c r="E38" s="231"/>
      <c r="F38" s="231"/>
      <c r="G38" s="231"/>
      <c r="H38" s="1045"/>
      <c r="I38" s="231"/>
      <c r="J38" s="231"/>
      <c r="K38" s="231"/>
      <c r="L38" s="231"/>
    </row>
    <row r="39" spans="1:14">
      <c r="D39" s="242"/>
      <c r="E39" s="231"/>
      <c r="F39" s="231"/>
      <c r="G39" s="231"/>
      <c r="H39" s="1045"/>
      <c r="I39" s="231"/>
      <c r="J39" s="231"/>
      <c r="K39" s="231"/>
      <c r="L39" s="231"/>
    </row>
    <row r="40" spans="1:14">
      <c r="D40" s="242"/>
      <c r="E40" s="231"/>
      <c r="F40" s="231"/>
      <c r="G40" s="231"/>
      <c r="H40" s="1045"/>
      <c r="I40" s="231"/>
      <c r="J40" s="231"/>
      <c r="K40" s="231"/>
      <c r="L40" s="231"/>
    </row>
    <row r="41" spans="1:14">
      <c r="D41" s="242"/>
      <c r="E41" s="231"/>
      <c r="F41" s="231"/>
      <c r="G41" s="231"/>
      <c r="H41" s="1045"/>
      <c r="I41" s="231"/>
      <c r="J41" s="231"/>
      <c r="K41" s="231"/>
      <c r="L41" s="231"/>
    </row>
    <row r="42" spans="1:14">
      <c r="D42" s="242"/>
      <c r="E42" s="231"/>
      <c r="F42" s="231"/>
      <c r="G42" s="231"/>
      <c r="H42" s="1045"/>
      <c r="I42" s="231"/>
      <c r="J42" s="231"/>
      <c r="K42" s="231"/>
      <c r="L42" s="231"/>
    </row>
    <row r="43" spans="1:14">
      <c r="D43" s="242"/>
      <c r="E43" s="231"/>
      <c r="F43" s="231"/>
      <c r="G43" s="231"/>
      <c r="H43" s="1045"/>
      <c r="I43" s="231"/>
      <c r="J43" s="231"/>
      <c r="K43" s="231"/>
      <c r="L43" s="231"/>
    </row>
    <row r="44" spans="1:14">
      <c r="D44" s="242"/>
      <c r="E44" s="231"/>
      <c r="F44" s="231"/>
      <c r="G44" s="231"/>
      <c r="H44" s="1045"/>
      <c r="I44" s="231"/>
      <c r="J44" s="231"/>
      <c r="K44" s="231"/>
      <c r="L44" s="231"/>
    </row>
    <row r="45" spans="1:14">
      <c r="D45" s="242"/>
      <c r="E45" s="231"/>
      <c r="F45" s="231"/>
      <c r="G45" s="231"/>
      <c r="H45" s="1045"/>
      <c r="I45" s="231"/>
      <c r="J45" s="231"/>
      <c r="K45" s="231"/>
      <c r="L45" s="231"/>
    </row>
  </sheetData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66"/>
  </sheetPr>
  <dimension ref="A1:Q47"/>
  <sheetViews>
    <sheetView workbookViewId="0">
      <pane ySplit="4" topLeftCell="A20" activePane="bottomLeft" state="frozen"/>
      <selection activeCell="A26" sqref="A26:XFD26"/>
      <selection pane="bottomLeft" activeCell="O37" sqref="O37"/>
    </sheetView>
  </sheetViews>
  <sheetFormatPr defaultColWidth="12.42578125" defaultRowHeight="15.75"/>
  <cols>
    <col min="1" max="1" width="3.42578125" style="207" bestFit="1" customWidth="1"/>
    <col min="2" max="2" width="50.7109375" style="207" bestFit="1" customWidth="1"/>
    <col min="3" max="3" width="5.140625" style="207" bestFit="1" customWidth="1"/>
    <col min="4" max="4" width="5.140625" style="207" customWidth="1"/>
    <col min="5" max="5" width="9.140625" style="207" bestFit="1" customWidth="1"/>
    <col min="6" max="6" width="6.140625" style="207" bestFit="1" customWidth="1"/>
    <col min="7" max="12" width="6.140625" style="243" bestFit="1" customWidth="1"/>
    <col min="13" max="13" width="8.140625" style="212" bestFit="1" customWidth="1"/>
    <col min="14" max="14" width="12.42578125" style="207"/>
    <col min="15" max="15" width="12.7109375" style="207" bestFit="1" customWidth="1"/>
    <col min="16" max="16384" width="12.42578125" style="207"/>
  </cols>
  <sheetData>
    <row r="1" spans="1:17">
      <c r="A1" s="207" t="s">
        <v>284</v>
      </c>
    </row>
    <row r="3" spans="1:17" s="244" customFormat="1">
      <c r="B3" s="244" t="s">
        <v>156</v>
      </c>
      <c r="G3" s="245"/>
      <c r="H3" s="246"/>
      <c r="I3" s="246"/>
      <c r="J3" s="246"/>
      <c r="K3" s="246"/>
      <c r="L3" s="246"/>
      <c r="M3" s="247"/>
    </row>
    <row r="4" spans="1:17">
      <c r="B4" s="208"/>
      <c r="C4" s="209" t="s">
        <v>55</v>
      </c>
      <c r="D4" s="209">
        <v>2010</v>
      </c>
      <c r="E4" s="209">
        <v>2015</v>
      </c>
      <c r="F4" s="209">
        <v>2020</v>
      </c>
      <c r="G4" s="210">
        <v>2025</v>
      </c>
      <c r="H4" s="210">
        <v>2030</v>
      </c>
      <c r="I4" s="210">
        <v>2035</v>
      </c>
      <c r="J4" s="210">
        <v>2040</v>
      </c>
      <c r="K4" s="210">
        <v>2045</v>
      </c>
      <c r="L4" s="211">
        <v>2050</v>
      </c>
    </row>
    <row r="5" spans="1:17">
      <c r="A5" s="207">
        <v>1</v>
      </c>
      <c r="B5" s="213" t="s">
        <v>59</v>
      </c>
      <c r="C5" s="213" t="s">
        <v>133</v>
      </c>
      <c r="D5" s="213"/>
      <c r="E5" s="1052">
        <f>[10]TAK!E5</f>
        <v>755.511772170462</v>
      </c>
      <c r="F5" s="1077">
        <f>[10]TAK!F5</f>
        <v>734.38215642269324</v>
      </c>
      <c r="G5" s="1077">
        <f>[10]TAK!G5</f>
        <v>786.48531281448277</v>
      </c>
      <c r="H5" s="1077">
        <f>[10]TAK!H5</f>
        <v>796.29796542832776</v>
      </c>
      <c r="I5" s="1077">
        <f>[10]TAK!I5</f>
        <v>820.80908807147819</v>
      </c>
      <c r="J5" s="1077">
        <f>[10]TAK!J5</f>
        <v>817.41726339821344</v>
      </c>
      <c r="K5" s="1077">
        <f>[10]TAK!K5</f>
        <v>809.2920729660367</v>
      </c>
      <c r="L5" s="1078">
        <f>[10]TAK!L5</f>
        <v>810.89879083039273</v>
      </c>
      <c r="M5" s="216"/>
      <c r="N5" s="207" t="s">
        <v>134</v>
      </c>
    </row>
    <row r="6" spans="1:17">
      <c r="A6" s="207">
        <v>2</v>
      </c>
      <c r="B6" s="217" t="s">
        <v>60</v>
      </c>
      <c r="C6" s="218" t="s">
        <v>133</v>
      </c>
      <c r="D6" s="218"/>
      <c r="E6" s="1079">
        <f>[10]TAK!E6</f>
        <v>99.736849093538822</v>
      </c>
      <c r="F6" s="1079">
        <f>[10]TAK!F6</f>
        <v>100.05695001243684</v>
      </c>
      <c r="G6" s="1079">
        <f>[10]TAK!G6</f>
        <v>93.832362814482678</v>
      </c>
      <c r="H6" s="1079">
        <f>[10]TAK!H6</f>
        <v>95.914419274481602</v>
      </c>
      <c r="I6" s="1079">
        <f>[10]TAK!I6</f>
        <v>97.203363712503688</v>
      </c>
      <c r="J6" s="1079">
        <f>[10]TAK!J6</f>
        <v>98.465981346931358</v>
      </c>
      <c r="K6" s="1079">
        <f>[10]TAK!K6</f>
        <v>99.704165914754526</v>
      </c>
      <c r="L6" s="1080">
        <f>[10]TAK!L6</f>
        <v>100.91963377911071</v>
      </c>
      <c r="M6" s="221"/>
    </row>
    <row r="7" spans="1:17">
      <c r="A7" s="207">
        <v>3</v>
      </c>
      <c r="B7" s="222" t="s">
        <v>135</v>
      </c>
      <c r="C7" s="223" t="s">
        <v>133</v>
      </c>
      <c r="D7" s="223"/>
      <c r="E7" s="1081">
        <f>[10]TAK!E7</f>
        <v>12.8</v>
      </c>
      <c r="F7" s="1082">
        <f>[10]TAK!F7</f>
        <v>14.601778667555065</v>
      </c>
      <c r="G7" s="1083">
        <f>[10]TAK!G7</f>
        <v>13.185764851075584</v>
      </c>
      <c r="H7" s="1083">
        <f>[10]TAK!H7</f>
        <v>13.273539972673817</v>
      </c>
      <c r="I7" s="1083">
        <f>[10]TAK!I7</f>
        <v>13.370543848684587</v>
      </c>
      <c r="J7" s="1083">
        <f>[10]TAK!J7</f>
        <v>13.462781665423952</v>
      </c>
      <c r="K7" s="1083">
        <f>[10]TAK!K7</f>
        <v>13.550596254588365</v>
      </c>
      <c r="L7" s="1083">
        <f>[10]TAK!L7</f>
        <v>13.634298337090655</v>
      </c>
      <c r="M7" s="226"/>
      <c r="N7" s="207" t="s">
        <v>136</v>
      </c>
    </row>
    <row r="8" spans="1:17">
      <c r="A8" s="207">
        <v>4</v>
      </c>
      <c r="B8" s="227" t="s">
        <v>137</v>
      </c>
      <c r="C8" s="223" t="s">
        <v>133</v>
      </c>
      <c r="D8" s="223"/>
      <c r="E8" s="1081">
        <f>[10]TAK!E8</f>
        <v>70</v>
      </c>
      <c r="F8" s="1082">
        <f>[10]TAK!F8</f>
        <v>66.055665400844333</v>
      </c>
      <c r="G8" s="1083">
        <f>[10]TAK!G8</f>
        <v>59.649888612008581</v>
      </c>
      <c r="H8" s="1083">
        <f>[10]TAK!H8</f>
        <v>60.046966543048214</v>
      </c>
      <c r="I8" s="1083">
        <f>[10]TAK!I8</f>
        <v>60.485793601192178</v>
      </c>
      <c r="J8" s="1083">
        <f>[10]TAK!J8</f>
        <v>60.90305991501311</v>
      </c>
      <c r="K8" s="1083">
        <f>[10]TAK!K8</f>
        <v>61.300316389804507</v>
      </c>
      <c r="L8" s="1083">
        <f>[10]TAK!L8</f>
        <v>61.678968667791047</v>
      </c>
      <c r="M8" s="226"/>
      <c r="N8" s="207" t="s">
        <v>136</v>
      </c>
    </row>
    <row r="9" spans="1:17">
      <c r="A9" s="207">
        <v>5</v>
      </c>
      <c r="B9" s="227" t="s">
        <v>138</v>
      </c>
      <c r="C9" s="223" t="s">
        <v>133</v>
      </c>
      <c r="D9" s="223"/>
      <c r="E9" s="1081">
        <f>[10]TAK!E9</f>
        <v>16.936849093538822</v>
      </c>
      <c r="F9" s="1082">
        <f>[10]TAK!F9</f>
        <v>19.399505944037443</v>
      </c>
      <c r="G9" s="1084">
        <f>[10]TAK!G9</f>
        <v>20.996709351398508</v>
      </c>
      <c r="H9" s="1084">
        <f>[10]TAK!H9</f>
        <v>22.593912758759576</v>
      </c>
      <c r="I9" s="1084">
        <f>[10]TAK!I9</f>
        <v>23.347026262626933</v>
      </c>
      <c r="J9" s="1084">
        <f>[10]TAK!J9</f>
        <v>24.100139766494298</v>
      </c>
      <c r="K9" s="1084">
        <f>[10]TAK!K9</f>
        <v>24.853253270361655</v>
      </c>
      <c r="L9" s="1084">
        <f>[10]TAK!L9</f>
        <v>25.606366774229009</v>
      </c>
      <c r="M9" s="226"/>
      <c r="N9" s="207" t="s">
        <v>136</v>
      </c>
    </row>
    <row r="10" spans="1:17">
      <c r="A10" s="207">
        <v>6</v>
      </c>
      <c r="B10" s="217" t="s">
        <v>61</v>
      </c>
      <c r="C10" s="218" t="s">
        <v>133</v>
      </c>
      <c r="D10" s="218"/>
      <c r="E10" s="1079">
        <f>[10]TAK!E10</f>
        <v>0</v>
      </c>
      <c r="F10" s="1079">
        <f>[10]TAK!F10</f>
        <v>0</v>
      </c>
      <c r="G10" s="1079">
        <f>[10]TAK!G10</f>
        <v>26</v>
      </c>
      <c r="H10" s="1079">
        <f>[10]TAK!H10</f>
        <v>26</v>
      </c>
      <c r="I10" s="1079">
        <f>[10]TAK!I10</f>
        <v>26</v>
      </c>
      <c r="J10" s="1079">
        <f>[10]TAK!J10</f>
        <v>26</v>
      </c>
      <c r="K10" s="1079">
        <f>[10]TAK!K10</f>
        <v>26</v>
      </c>
      <c r="L10" s="1079">
        <f>[10]TAK!L10</f>
        <v>26</v>
      </c>
      <c r="M10" s="221"/>
    </row>
    <row r="11" spans="1:17">
      <c r="A11" s="207">
        <v>7</v>
      </c>
      <c r="B11" s="228" t="s">
        <v>139</v>
      </c>
      <c r="C11" s="229" t="s">
        <v>133</v>
      </c>
      <c r="D11" s="229"/>
      <c r="E11" s="1085">
        <f>[10]TAK!E11</f>
        <v>0</v>
      </c>
      <c r="F11" s="1085">
        <f>[10]TAK!F11</f>
        <v>0</v>
      </c>
      <c r="G11" s="1086">
        <f>[10]TAK!G11</f>
        <v>26</v>
      </c>
      <c r="H11" s="1086">
        <f>[10]TAK!H11</f>
        <v>26</v>
      </c>
      <c r="I11" s="1086">
        <f>[10]TAK!I11</f>
        <v>26</v>
      </c>
      <c r="J11" s="1086">
        <f>[10]TAK!J11</f>
        <v>26</v>
      </c>
      <c r="K11" s="1086">
        <f>[10]TAK!K11</f>
        <v>26</v>
      </c>
      <c r="L11" s="1086">
        <f>[10]TAK!L11</f>
        <v>26</v>
      </c>
      <c r="N11" s="207" t="s">
        <v>140</v>
      </c>
    </row>
    <row r="12" spans="1:17">
      <c r="A12" s="207">
        <v>8</v>
      </c>
      <c r="B12" s="228" t="s">
        <v>141</v>
      </c>
      <c r="C12" s="229" t="s">
        <v>133</v>
      </c>
      <c r="D12" s="229"/>
      <c r="E12" s="1085">
        <f>[10]TAK!E12</f>
        <v>0</v>
      </c>
      <c r="F12" s="1085">
        <f>[10]TAK!F12</f>
        <v>0</v>
      </c>
      <c r="G12" s="1085">
        <f>[10]TAK!G12</f>
        <v>0</v>
      </c>
      <c r="H12" s="1085">
        <f>[10]TAK!H12</f>
        <v>0</v>
      </c>
      <c r="I12" s="1085">
        <f>[10]TAK!I12</f>
        <v>0</v>
      </c>
      <c r="J12" s="1085">
        <f>[10]TAK!J12</f>
        <v>0</v>
      </c>
      <c r="K12" s="1085">
        <f>[10]TAK!K12</f>
        <v>0</v>
      </c>
      <c r="L12" s="1085">
        <f>[10]TAK!L12</f>
        <v>0</v>
      </c>
    </row>
    <row r="13" spans="1:17">
      <c r="A13" s="207">
        <v>9</v>
      </c>
      <c r="B13" s="710" t="s">
        <v>280</v>
      </c>
      <c r="C13" s="218"/>
      <c r="D13" s="218"/>
      <c r="E13" s="1079">
        <f>[10]TAK!E13</f>
        <v>655.77492307692319</v>
      </c>
      <c r="F13" s="1079">
        <f>[10]TAK!F13</f>
        <v>634.32520641025644</v>
      </c>
      <c r="G13" s="1079">
        <f>[10]TAK!G13</f>
        <v>666.65295000000003</v>
      </c>
      <c r="H13" s="1079">
        <f>[10]TAK!H13</f>
        <v>674.38354615384617</v>
      </c>
      <c r="I13" s="1079">
        <f>[10]TAK!I13</f>
        <v>697.6057243589745</v>
      </c>
      <c r="J13" s="1079">
        <f>[10]TAK!J13</f>
        <v>692.95128205128208</v>
      </c>
      <c r="K13" s="1079">
        <f>[10]TAK!K13</f>
        <v>683.58790705128217</v>
      </c>
      <c r="L13" s="1079">
        <f>[10]TAK!L13</f>
        <v>683.97915705128207</v>
      </c>
      <c r="M13" s="221"/>
    </row>
    <row r="14" spans="1:17">
      <c r="A14" s="207">
        <v>10</v>
      </c>
      <c r="B14" s="227" t="s">
        <v>277</v>
      </c>
      <c r="C14" s="223" t="s">
        <v>133</v>
      </c>
      <c r="D14" s="223"/>
      <c r="E14" s="1086">
        <f>[10]TAK!E14</f>
        <v>135.76530769230772</v>
      </c>
      <c r="F14" s="1087">
        <f>[10]TAK!F14</f>
        <v>145.08434102564107</v>
      </c>
      <c r="G14" s="1087">
        <f>[10]TAK!G14</f>
        <v>166.70294999999999</v>
      </c>
      <c r="H14" s="1087">
        <f>[10]TAK!H14</f>
        <v>177.57056538461538</v>
      </c>
      <c r="I14" s="1087">
        <f>[10]TAK!I14</f>
        <v>197.00668589743591</v>
      </c>
      <c r="J14" s="1087">
        <f>[10]TAK!J14</f>
        <v>203.79695512820516</v>
      </c>
      <c r="K14" s="1087">
        <f>[10]TAK!K14</f>
        <v>203.99608012820519</v>
      </c>
      <c r="L14" s="1087">
        <f>[10]TAK!L14</f>
        <v>204.38733012820515</v>
      </c>
      <c r="N14" s="207" t="s">
        <v>136</v>
      </c>
      <c r="Q14" s="231"/>
    </row>
    <row r="15" spans="1:17">
      <c r="A15" s="207">
        <v>11</v>
      </c>
      <c r="B15" s="227" t="s">
        <v>278</v>
      </c>
      <c r="C15" s="223" t="s">
        <v>133</v>
      </c>
      <c r="D15" s="223"/>
      <c r="E15" s="1086">
        <f>[10]TAK!E15</f>
        <v>271.38461538461542</v>
      </c>
      <c r="F15" s="1087">
        <f>[10]TAK!F15</f>
        <v>289.38461538461542</v>
      </c>
      <c r="G15" s="1087">
        <f>[10]TAK!G15</f>
        <v>324</v>
      </c>
      <c r="H15" s="1087">
        <f>[10]TAK!H15</f>
        <v>344.76923076923077</v>
      </c>
      <c r="I15" s="1087">
        <f>[10]TAK!I15</f>
        <v>372.46153846153851</v>
      </c>
      <c r="J15" s="1087">
        <f>[10]TAK!J15</f>
        <v>384.92307692307691</v>
      </c>
      <c r="K15" s="1087">
        <f>[10]TAK!K15</f>
        <v>384.92307692307691</v>
      </c>
      <c r="L15" s="1087">
        <f>[10]TAK!L15</f>
        <v>384.92307692307691</v>
      </c>
      <c r="N15" s="207" t="s">
        <v>136</v>
      </c>
    </row>
    <row r="16" spans="1:17">
      <c r="A16" s="207">
        <v>12</v>
      </c>
      <c r="B16" s="227" t="s">
        <v>279</v>
      </c>
      <c r="C16" s="223" t="s">
        <v>133</v>
      </c>
      <c r="D16" s="223"/>
      <c r="E16" s="1086">
        <f>[10]TAK!E16</f>
        <v>175.5</v>
      </c>
      <c r="F16" s="1087">
        <f>[10]TAK!F16</f>
        <v>141.07499999999999</v>
      </c>
      <c r="G16" s="1087">
        <f>[10]TAK!G16</f>
        <v>124.2</v>
      </c>
      <c r="H16" s="1087">
        <f>[10]TAK!H16</f>
        <v>107.325</v>
      </c>
      <c r="I16" s="1087">
        <f>[10]TAK!I16</f>
        <v>90.45</v>
      </c>
      <c r="J16" s="1087">
        <f>[10]TAK!J16</f>
        <v>73.575000000000003</v>
      </c>
      <c r="K16" s="1087">
        <f>[10]TAK!K16</f>
        <v>66.825000000000003</v>
      </c>
      <c r="L16" s="1087">
        <f>[10]TAK!L16</f>
        <v>66.825000000000003</v>
      </c>
      <c r="N16" s="207" t="s">
        <v>136</v>
      </c>
    </row>
    <row r="17" spans="1:17">
      <c r="A17" s="207">
        <v>13</v>
      </c>
      <c r="B17" s="227" t="s">
        <v>281</v>
      </c>
      <c r="C17" s="223" t="s">
        <v>133</v>
      </c>
      <c r="D17" s="223"/>
      <c r="E17" s="1086">
        <f>[10]TAK!E17</f>
        <v>73.125</v>
      </c>
      <c r="F17" s="1087">
        <f>[10]TAK!F17</f>
        <v>58.78125</v>
      </c>
      <c r="G17" s="1087">
        <f>[10]TAK!G17</f>
        <v>51.75</v>
      </c>
      <c r="H17" s="1087">
        <f>[10]TAK!H17</f>
        <v>44.71875</v>
      </c>
      <c r="I17" s="1087">
        <f>[10]TAK!I17</f>
        <v>37.6875</v>
      </c>
      <c r="J17" s="1087">
        <f>[10]TAK!J17</f>
        <v>30.65625</v>
      </c>
      <c r="K17" s="1087">
        <f>[10]TAK!K17</f>
        <v>27.84375</v>
      </c>
      <c r="L17" s="1087">
        <f>[10]TAK!L17</f>
        <v>27.84375</v>
      </c>
      <c r="N17" s="207" t="s">
        <v>136</v>
      </c>
    </row>
    <row r="18" spans="1:17">
      <c r="A18" s="207">
        <v>14</v>
      </c>
      <c r="B18" s="213" t="s">
        <v>144</v>
      </c>
      <c r="C18" s="213" t="s">
        <v>133</v>
      </c>
      <c r="D18" s="213"/>
      <c r="E18" s="1088">
        <f>[10]TAK!E18</f>
        <v>495.35786597364154</v>
      </c>
      <c r="F18" s="1088">
        <f>[10]TAK!F18</f>
        <v>546.58545337356577</v>
      </c>
      <c r="G18" s="1088">
        <f>[10]TAK!G18</f>
        <v>595.58302489534231</v>
      </c>
      <c r="H18" s="1088">
        <f>[10]TAK!H18</f>
        <v>634.20915007756616</v>
      </c>
      <c r="I18" s="1088">
        <f>[10]TAK!I18</f>
        <v>653.93762735933899</v>
      </c>
      <c r="J18" s="1088">
        <f>[10]TAK!J18</f>
        <v>671.46324464111171</v>
      </c>
      <c r="K18" s="1088">
        <f>[10]TAK!K18</f>
        <v>685.52789792288468</v>
      </c>
      <c r="L18" s="1088">
        <f>[10]TAK!L18</f>
        <v>699.36649300465751</v>
      </c>
      <c r="M18" s="216"/>
      <c r="P18" s="232"/>
      <c r="Q18" s="232"/>
    </row>
    <row r="19" spans="1:17">
      <c r="A19" s="207">
        <v>15</v>
      </c>
      <c r="B19" s="217" t="s">
        <v>60</v>
      </c>
      <c r="C19" s="218" t="s">
        <v>133</v>
      </c>
      <c r="D19" s="218"/>
      <c r="E19" s="1079">
        <f>[10]TAK!E19</f>
        <v>205.60527364030821</v>
      </c>
      <c r="F19" s="1079">
        <f>[10]TAK!F19</f>
        <v>202.66514381356575</v>
      </c>
      <c r="G19" s="1079">
        <f>[10]TAK!G19</f>
        <v>223.34832018877611</v>
      </c>
      <c r="H19" s="1079">
        <f>[10]TAK!H19</f>
        <v>245.32070567697463</v>
      </c>
      <c r="I19" s="1079">
        <f>[10]TAK!I19</f>
        <v>250.14823988411598</v>
      </c>
      <c r="J19" s="1079">
        <f>[10]TAK!J19</f>
        <v>254.97577409125731</v>
      </c>
      <c r="K19" s="1079">
        <f>[10]TAK!K19</f>
        <v>259.80330829839863</v>
      </c>
      <c r="L19" s="1080">
        <f>[10]TAK!L19</f>
        <v>264.63084250554004</v>
      </c>
      <c r="M19" s="221"/>
      <c r="O19" s="233"/>
    </row>
    <row r="20" spans="1:17">
      <c r="A20" s="207">
        <v>16</v>
      </c>
      <c r="B20" s="227" t="s">
        <v>137</v>
      </c>
      <c r="C20" s="223" t="s">
        <v>133</v>
      </c>
      <c r="D20" s="223"/>
      <c r="E20" s="1089">
        <f>[10]TAK!E20</f>
        <v>161</v>
      </c>
      <c r="F20" s="1089">
        <f>[10]TAK!F20</f>
        <v>155.57847508883074</v>
      </c>
      <c r="G20" s="1090">
        <f>[10]TAK!G20</f>
        <v>173.78025637961431</v>
      </c>
      <c r="H20" s="1090">
        <f>[10]TAK!H20</f>
        <v>191.98203767039792</v>
      </c>
      <c r="I20" s="1090">
        <f>[10]TAK!I20</f>
        <v>195.03165622463948</v>
      </c>
      <c r="J20" s="1090">
        <f>[10]TAK!J20</f>
        <v>198.08127477888104</v>
      </c>
      <c r="K20" s="1090">
        <f>[10]TAK!K20</f>
        <v>201.13089333312257</v>
      </c>
      <c r="L20" s="1090">
        <f>[10]TAK!L20</f>
        <v>204.18051188736419</v>
      </c>
      <c r="M20" s="236"/>
      <c r="N20" s="237" t="s">
        <v>145</v>
      </c>
    </row>
    <row r="21" spans="1:17">
      <c r="A21" s="207">
        <v>17</v>
      </c>
      <c r="B21" s="227" t="s">
        <v>146</v>
      </c>
      <c r="C21" s="223" t="s">
        <v>133</v>
      </c>
      <c r="D21" s="223"/>
      <c r="E21" s="1089">
        <f>[10]TAK!E21</f>
        <v>44.605273640308226</v>
      </c>
      <c r="F21" s="1091">
        <f>[10]TAK!F21</f>
        <v>47.086668724735013</v>
      </c>
      <c r="G21" s="1090">
        <f>[10]TAK!G21</f>
        <v>49.568063809161799</v>
      </c>
      <c r="H21" s="1090">
        <f>[10]TAK!H21</f>
        <v>53.338668006576711</v>
      </c>
      <c r="I21" s="1090">
        <f>[10]TAK!I21</f>
        <v>55.11658365947649</v>
      </c>
      <c r="J21" s="1090">
        <f>[10]TAK!J21</f>
        <v>56.894499312376269</v>
      </c>
      <c r="K21" s="1090">
        <f>[10]TAK!K21</f>
        <v>58.672414965276069</v>
      </c>
      <c r="L21" s="1090">
        <f>[10]TAK!L21</f>
        <v>60.45033061817584</v>
      </c>
      <c r="M21" s="236"/>
      <c r="N21" s="207" t="s">
        <v>147</v>
      </c>
    </row>
    <row r="22" spans="1:17">
      <c r="A22" s="207">
        <v>18</v>
      </c>
      <c r="B22" s="217" t="s">
        <v>61</v>
      </c>
      <c r="C22" s="218" t="s">
        <v>133</v>
      </c>
      <c r="D22" s="218"/>
      <c r="E22" s="1079">
        <f>[10]TAK!E22</f>
        <v>17.567250000000001</v>
      </c>
      <c r="F22" s="1079">
        <f>[10]TAK!F22</f>
        <v>37.567250000000001</v>
      </c>
      <c r="G22" s="1079">
        <f>[10]TAK!G22</f>
        <v>43.504604526566084</v>
      </c>
      <c r="H22" s="1079">
        <f>[10]TAK!H22</f>
        <v>42.708759800591473</v>
      </c>
      <c r="I22" s="1079">
        <f>[10]TAK!I22</f>
        <v>43.014950408556288</v>
      </c>
      <c r="J22" s="1079">
        <f>[10]TAK!J22</f>
        <v>43.321141016521111</v>
      </c>
      <c r="K22" s="1079">
        <f>[10]TAK!K22</f>
        <v>43.627331624485919</v>
      </c>
      <c r="L22" s="1079">
        <f>[10]TAK!L22</f>
        <v>43.933522232450741</v>
      </c>
      <c r="M22" s="221"/>
    </row>
    <row r="23" spans="1:17">
      <c r="A23" s="207">
        <v>19</v>
      </c>
      <c r="B23" s="227" t="s">
        <v>157</v>
      </c>
      <c r="C23" s="223" t="s">
        <v>133</v>
      </c>
      <c r="D23" s="223"/>
      <c r="E23" s="1092">
        <f>[10]TAK!E23</f>
        <v>0</v>
      </c>
      <c r="F23" s="1092">
        <f>[10]TAK!F23</f>
        <v>0</v>
      </c>
      <c r="G23" s="1083">
        <f>[10]TAK!G23</f>
        <v>3.5037147444562735</v>
      </c>
      <c r="H23" s="1083">
        <f>[10]TAK!H23</f>
        <v>3.4759201479907613</v>
      </c>
      <c r="I23" s="1083">
        <f>[10]TAK!I23</f>
        <v>3.5311348477876954</v>
      </c>
      <c r="J23" s="1083">
        <f>[10]TAK!J23</f>
        <v>3.5863495475846294</v>
      </c>
      <c r="K23" s="1083">
        <f>[10]TAK!K23</f>
        <v>3.6415642473815639</v>
      </c>
      <c r="L23" s="1083">
        <f>[10]TAK!L23</f>
        <v>3.6967789471784984</v>
      </c>
      <c r="M23" s="238"/>
      <c r="N23" s="237" t="s">
        <v>148</v>
      </c>
    </row>
    <row r="24" spans="1:17">
      <c r="A24" s="207">
        <v>20</v>
      </c>
      <c r="B24" s="227" t="s">
        <v>149</v>
      </c>
      <c r="C24" s="223" t="s">
        <v>133</v>
      </c>
      <c r="D24" s="223"/>
      <c r="E24" s="1081">
        <f>[10]TAK!E24</f>
        <v>15</v>
      </c>
      <c r="F24" s="1083">
        <f>[10]TAK!F24</f>
        <v>15</v>
      </c>
      <c r="G24" s="1083">
        <f>[10]TAK!G24</f>
        <v>16.040524155797431</v>
      </c>
      <c r="H24" s="1083">
        <f>[10]TAK!H24</f>
        <v>15.799637036321641</v>
      </c>
      <c r="I24" s="1083">
        <f>[10]TAK!I24</f>
        <v>16.050612944489526</v>
      </c>
      <c r="J24" s="1083">
        <f>[10]TAK!J24</f>
        <v>16.30158885265741</v>
      </c>
      <c r="K24" s="1083">
        <f>[10]TAK!K24</f>
        <v>16.552564760825291</v>
      </c>
      <c r="L24" s="1083">
        <f>[10]TAK!L24</f>
        <v>16.803540668993175</v>
      </c>
      <c r="M24" s="236"/>
      <c r="N24" s="237" t="s">
        <v>148</v>
      </c>
    </row>
    <row r="25" spans="1:17">
      <c r="A25" s="207">
        <v>21</v>
      </c>
      <c r="B25" s="227" t="s">
        <v>150</v>
      </c>
      <c r="C25" s="223" t="s">
        <v>133</v>
      </c>
      <c r="D25" s="223"/>
      <c r="E25" s="1089">
        <f>[10]TAK!E25</f>
        <v>2.5672499999999996</v>
      </c>
      <c r="F25" s="1090">
        <f>[10]TAK!F25</f>
        <v>22.567250000000001</v>
      </c>
      <c r="G25" s="1090">
        <f>[10]TAK!G25</f>
        <v>23.960365626312377</v>
      </c>
      <c r="H25" s="1090">
        <f>[10]TAK!H25</f>
        <v>23.433202616279068</v>
      </c>
      <c r="I25" s="1090">
        <f>[10]TAK!I25</f>
        <v>23.433202616279068</v>
      </c>
      <c r="J25" s="1090">
        <f>[10]TAK!J25</f>
        <v>23.433202616279068</v>
      </c>
      <c r="K25" s="1090">
        <f>[10]TAK!K25</f>
        <v>23.433202616279068</v>
      </c>
      <c r="L25" s="1090">
        <f>[10]TAK!L25</f>
        <v>23.433202616279068</v>
      </c>
      <c r="N25" s="256" t="s">
        <v>158</v>
      </c>
    </row>
    <row r="26" spans="1:17">
      <c r="B26" s="804" t="s">
        <v>288</v>
      </c>
      <c r="C26" s="805"/>
      <c r="D26" s="805"/>
      <c r="E26" s="1079">
        <f>[10]TAK!E26</f>
        <v>272.18534233333332</v>
      </c>
      <c r="F26" s="1079">
        <f>[10]TAK!F26</f>
        <v>306.35305956000008</v>
      </c>
      <c r="G26" s="1079">
        <f>[10]TAK!G26</f>
        <v>328.73010018000008</v>
      </c>
      <c r="H26" s="1079">
        <f>[10]TAK!H26</f>
        <v>346.17968460000009</v>
      </c>
      <c r="I26" s="1079">
        <f>[10]TAK!I26</f>
        <v>360.77443706666674</v>
      </c>
      <c r="J26" s="1079">
        <f>[10]TAK!J26</f>
        <v>373.16632953333334</v>
      </c>
      <c r="K26" s="1079">
        <f>[10]TAK!K26</f>
        <v>382.09725800000012</v>
      </c>
      <c r="L26" s="1079">
        <f>[10]TAK!L26</f>
        <v>390.80212826666673</v>
      </c>
      <c r="N26" s="256"/>
    </row>
    <row r="27" spans="1:17">
      <c r="B27" s="806" t="s">
        <v>289</v>
      </c>
      <c r="C27" s="807" t="s">
        <v>133</v>
      </c>
      <c r="D27" s="807"/>
      <c r="E27" s="1093">
        <f>[10]TAK!E27</f>
        <v>21.596274000000001</v>
      </c>
      <c r="F27" s="1093">
        <f>[10]TAK!F27</f>
        <v>23.266089000000001</v>
      </c>
      <c r="G27" s="1093">
        <f>[10]TAK!G27</f>
        <v>26.049113999999999</v>
      </c>
      <c r="H27" s="1093">
        <f>[10]TAK!H27</f>
        <v>27.718928999999999</v>
      </c>
      <c r="I27" s="1093">
        <f>[10]TAK!I27</f>
        <v>29.945349</v>
      </c>
      <c r="J27" s="1093">
        <f>[10]TAK!J27</f>
        <v>30.947237999999999</v>
      </c>
      <c r="K27" s="1093">
        <f>[10]TAK!K27</f>
        <v>30.947237999999999</v>
      </c>
      <c r="L27" s="1093">
        <f>[10]TAK!L27</f>
        <v>30.947237999999999</v>
      </c>
      <c r="N27" s="256"/>
    </row>
    <row r="28" spans="1:17">
      <c r="B28" s="806" t="s">
        <v>290</v>
      </c>
      <c r="C28" s="807" t="s">
        <v>133</v>
      </c>
      <c r="D28" s="807"/>
      <c r="E28" s="1093">
        <f>[10]TAK!E28</f>
        <v>250.48049600000002</v>
      </c>
      <c r="F28" s="1093">
        <f>[10]TAK!F28</f>
        <v>282.88727600000004</v>
      </c>
      <c r="G28" s="1093">
        <f>[10]TAK!G28</f>
        <v>301.44077600000008</v>
      </c>
      <c r="H28" s="1093">
        <f>[10]TAK!H28</f>
        <v>316.03619600000007</v>
      </c>
      <c r="I28" s="1093">
        <f>[10]TAK!I28</f>
        <v>325.93139600000006</v>
      </c>
      <c r="J28" s="1093">
        <f>[10]TAK!J28</f>
        <v>334.68864800000006</v>
      </c>
      <c r="K28" s="1093">
        <f>[10]TAK!K28</f>
        <v>340.87314800000007</v>
      </c>
      <c r="L28" s="1093">
        <f>[10]TAK!L28</f>
        <v>346.81026800000006</v>
      </c>
      <c r="N28" s="256"/>
    </row>
    <row r="29" spans="1:17">
      <c r="B29" s="806" t="s">
        <v>291</v>
      </c>
      <c r="C29" s="807" t="s">
        <v>133</v>
      </c>
      <c r="D29" s="807"/>
      <c r="E29" s="1093">
        <f>[10]TAK!E29</f>
        <v>0.10857233333333334</v>
      </c>
      <c r="F29" s="1093">
        <f>[10]TAK!F29</f>
        <v>0.19969456000000002</v>
      </c>
      <c r="G29" s="1093">
        <f>[10]TAK!G29</f>
        <v>1.2402101800000003</v>
      </c>
      <c r="H29" s="1093">
        <f>[10]TAK!H29</f>
        <v>2.4245596000000003</v>
      </c>
      <c r="I29" s="1093">
        <f>[10]TAK!I29</f>
        <v>4.897692066666667</v>
      </c>
      <c r="J29" s="1093">
        <f>[10]TAK!J29</f>
        <v>7.5304435333333339</v>
      </c>
      <c r="K29" s="1093">
        <f>[10]TAK!K29</f>
        <v>10.276872000000003</v>
      </c>
      <c r="L29" s="1093">
        <f>[10]TAK!L29</f>
        <v>13.04462226666667</v>
      </c>
      <c r="N29" s="256"/>
    </row>
    <row r="30" spans="1:17">
      <c r="A30" s="207">
        <v>22</v>
      </c>
      <c r="B30" s="213" t="s">
        <v>65</v>
      </c>
      <c r="C30" s="213" t="s">
        <v>133</v>
      </c>
      <c r="D30" s="213"/>
      <c r="E30" s="1088">
        <f>[10]TAK!E30</f>
        <v>80.697777436650398</v>
      </c>
      <c r="F30" s="1088">
        <f>[10]TAK!F30</f>
        <v>86.420939502965012</v>
      </c>
      <c r="G30" s="1088">
        <f>[10]TAK!G30</f>
        <v>100.4378767731265</v>
      </c>
      <c r="H30" s="1088">
        <f>[10]TAK!H30</f>
        <v>98.059685097804788</v>
      </c>
      <c r="I30" s="1088">
        <f>[10]TAK!I30</f>
        <v>96.012555034319831</v>
      </c>
      <c r="J30" s="1088">
        <f>[10]TAK!J30</f>
        <v>94.904225987187544</v>
      </c>
      <c r="K30" s="1088">
        <f>[10]TAK!K30</f>
        <v>94.658480079434042</v>
      </c>
      <c r="L30" s="1094">
        <f>[10]TAK!L30</f>
        <v>95.233813167408243</v>
      </c>
      <c r="M30" s="216"/>
      <c r="N30" s="256" t="s">
        <v>159</v>
      </c>
    </row>
    <row r="31" spans="1:17">
      <c r="A31" s="207">
        <v>23</v>
      </c>
      <c r="B31" s="240" t="s">
        <v>66</v>
      </c>
      <c r="C31" s="223" t="s">
        <v>133</v>
      </c>
      <c r="D31" s="223"/>
      <c r="E31" s="1089">
        <f>[10]TAK!E31</f>
        <v>16.808271672135472</v>
      </c>
      <c r="F31" s="1091">
        <f>[10]TAK!F31</f>
        <v>19.943293731453466</v>
      </c>
      <c r="G31" s="1091">
        <f>[10]TAK!G31</f>
        <v>25.837822264257412</v>
      </c>
      <c r="H31" s="1091">
        <f>[10]TAK!H31</f>
        <v>27.137579167995511</v>
      </c>
      <c r="I31" s="1091">
        <f>[10]TAK!I31</f>
        <v>27.712912255969727</v>
      </c>
      <c r="J31" s="1091">
        <f>[10]TAK!J31</f>
        <v>28.288245343943931</v>
      </c>
      <c r="K31" s="1091">
        <f>[10]TAK!K31</f>
        <v>28.863578431918143</v>
      </c>
      <c r="L31" s="1091">
        <f>[10]TAK!L31</f>
        <v>29.438911519892333</v>
      </c>
      <c r="M31" s="236">
        <v>0.13</v>
      </c>
      <c r="N31" s="207" t="s">
        <v>160</v>
      </c>
    </row>
    <row r="32" spans="1:17">
      <c r="A32" s="207">
        <v>24</v>
      </c>
      <c r="B32" s="240" t="s">
        <v>152</v>
      </c>
      <c r="C32" s="223" t="s">
        <v>133</v>
      </c>
      <c r="D32" s="223"/>
      <c r="E32" s="1089">
        <f>[10]TAK!E32</f>
        <v>19.609650284158047</v>
      </c>
      <c r="F32" s="1091">
        <f>[10]TAK!F32</f>
        <v>24.929117164316832</v>
      </c>
      <c r="G32" s="1091">
        <f>[10]TAK!G32</f>
        <v>27.975020440825915</v>
      </c>
      <c r="H32" s="1091">
        <f>[10]TAK!H32</f>
        <v>26.595789723678479</v>
      </c>
      <c r="I32" s="1091">
        <f>[10]TAK!I32</f>
        <v>25.612366041881291</v>
      </c>
      <c r="J32" s="1091">
        <f>[10]TAK!J32</f>
        <v>24.980992741216358</v>
      </c>
      <c r="K32" s="1091">
        <f>[10]TAK!K32</f>
        <v>24.67308811781847</v>
      </c>
      <c r="L32" s="1091">
        <f>[10]TAK!L32</f>
        <v>24.67308811781847</v>
      </c>
      <c r="M32" s="236"/>
      <c r="N32" s="207" t="s">
        <v>161</v>
      </c>
    </row>
    <row r="33" spans="1:14">
      <c r="A33" s="207">
        <v>25</v>
      </c>
      <c r="B33" s="241" t="s">
        <v>154</v>
      </c>
      <c r="C33" s="223" t="s">
        <v>133</v>
      </c>
      <c r="D33" s="223"/>
      <c r="E33" s="1089">
        <f>[10]TAK!E33</f>
        <v>44.279855480356886</v>
      </c>
      <c r="F33" s="1091">
        <f>[10]TAK!F33</f>
        <v>41.548528607194719</v>
      </c>
      <c r="G33" s="1091">
        <f>[10]TAK!G33</f>
        <v>46.625034068043185</v>
      </c>
      <c r="H33" s="1091">
        <f>[10]TAK!H33</f>
        <v>44.326316206130791</v>
      </c>
      <c r="I33" s="1091">
        <f>[10]TAK!I33</f>
        <v>42.68727673646881</v>
      </c>
      <c r="J33" s="1091">
        <f>[10]TAK!J33</f>
        <v>41.634987902027255</v>
      </c>
      <c r="K33" s="1091">
        <f>[10]TAK!K33</f>
        <v>41.121813529697441</v>
      </c>
      <c r="L33" s="1091">
        <f>[10]TAK!L33</f>
        <v>41.121813529697441</v>
      </c>
      <c r="M33" s="236"/>
      <c r="N33" s="207" t="s">
        <v>161</v>
      </c>
    </row>
    <row r="34" spans="1:14">
      <c r="A34" s="207">
        <v>26</v>
      </c>
      <c r="B34" s="213" t="s">
        <v>97</v>
      </c>
      <c r="C34" s="213" t="s">
        <v>133</v>
      </c>
      <c r="D34" s="213"/>
      <c r="E34" s="214">
        <f>[10]TAK!E34</f>
        <v>0</v>
      </c>
      <c r="F34" s="214">
        <f>[10]TAK!F34</f>
        <v>39.297778076461626</v>
      </c>
      <c r="G34" s="214">
        <f>[10]TAK!G34</f>
        <v>64.789724384361861</v>
      </c>
      <c r="H34" s="214">
        <f>[10]TAK!H34</f>
        <v>90.281670692262068</v>
      </c>
      <c r="I34" s="214">
        <f>[10]TAK!I34</f>
        <v>97.052795994181707</v>
      </c>
      <c r="J34" s="214">
        <f>[10]TAK!J34</f>
        <v>104.33175569374534</v>
      </c>
      <c r="K34" s="214">
        <f>[10]TAK!K34</f>
        <v>112.15663737077622</v>
      </c>
      <c r="L34" s="214">
        <f>[10]TAK!L34</f>
        <v>120.56838517358445</v>
      </c>
      <c r="M34" s="236"/>
      <c r="N34" s="257">
        <v>1000</v>
      </c>
    </row>
    <row r="35" spans="1:14">
      <c r="A35" s="207">
        <v>26</v>
      </c>
      <c r="M35" s="236"/>
    </row>
    <row r="36" spans="1:14">
      <c r="A36" s="207">
        <v>26</v>
      </c>
      <c r="B36" s="213" t="s">
        <v>131</v>
      </c>
      <c r="C36" s="213" t="s">
        <v>133</v>
      </c>
      <c r="D36" s="213"/>
      <c r="E36" s="214">
        <f>[10]TAK!E36</f>
        <v>0</v>
      </c>
      <c r="F36" s="214">
        <f>[10]TAK!F36</f>
        <v>27.562894645284221</v>
      </c>
      <c r="G36" s="214">
        <f>[10]TAK!G36</f>
        <v>53.812046617132495</v>
      </c>
      <c r="H36" s="214">
        <f>[10]TAK!H36</f>
        <v>80.061198588980716</v>
      </c>
      <c r="I36" s="214">
        <f>[10]TAK!I36</f>
        <v>106.37267088881327</v>
      </c>
      <c r="J36" s="214">
        <f>[10]TAK!J36</f>
        <v>128.22708068864583</v>
      </c>
      <c r="K36" s="214">
        <f>[10]TAK!K36</f>
        <v>147.42016215106204</v>
      </c>
      <c r="L36" s="214">
        <f>[10]TAK!L36</f>
        <v>175.25123556174839</v>
      </c>
      <c r="M36" s="258"/>
      <c r="N36" s="258"/>
    </row>
    <row r="37" spans="1:14">
      <c r="M37" s="258"/>
      <c r="N37" s="258"/>
    </row>
    <row r="38" spans="1:14">
      <c r="B38" s="258"/>
      <c r="C38" s="258"/>
      <c r="D38" s="258"/>
      <c r="E38" s="258"/>
      <c r="F38" s="259"/>
      <c r="G38" s="256" t="s">
        <v>162</v>
      </c>
      <c r="H38" s="258"/>
      <c r="I38" s="258"/>
      <c r="J38" s="258"/>
      <c r="K38" s="258"/>
      <c r="L38" s="258"/>
      <c r="M38" s="258"/>
      <c r="N38" s="258"/>
    </row>
    <row r="39" spans="1:14">
      <c r="B39" s="258"/>
      <c r="C39" s="258"/>
      <c r="D39" s="258"/>
      <c r="E39" s="258"/>
      <c r="F39" s="260"/>
      <c r="G39" s="256" t="s">
        <v>163</v>
      </c>
      <c r="H39" s="258"/>
      <c r="I39" s="258"/>
      <c r="J39" s="258"/>
      <c r="K39" s="258"/>
      <c r="L39" s="258"/>
      <c r="M39" s="258"/>
      <c r="N39" s="258"/>
    </row>
    <row r="40" spans="1:14">
      <c r="B40" s="258"/>
      <c r="C40" s="258"/>
      <c r="D40" s="258"/>
      <c r="E40" s="258"/>
      <c r="F40" s="261"/>
      <c r="G40" s="256" t="s">
        <v>164</v>
      </c>
      <c r="H40" s="258"/>
      <c r="I40" s="258"/>
      <c r="J40" s="258"/>
      <c r="K40" s="258"/>
      <c r="L40" s="258"/>
      <c r="M40" s="258"/>
      <c r="N40" s="258"/>
    </row>
    <row r="41" spans="1:14">
      <c r="B41" s="258"/>
      <c r="C41" s="258"/>
      <c r="D41" s="258"/>
      <c r="E41" s="258"/>
      <c r="F41" s="262"/>
      <c r="G41" s="256" t="s">
        <v>165</v>
      </c>
      <c r="H41" s="258"/>
      <c r="I41" s="258"/>
      <c r="J41" s="258"/>
      <c r="K41" s="258"/>
      <c r="L41" s="258"/>
      <c r="M41" s="258"/>
      <c r="N41" s="258"/>
    </row>
    <row r="42" spans="1:14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</row>
    <row r="43" spans="1:14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</row>
    <row r="44" spans="1:14"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</row>
    <row r="45" spans="1:14"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</row>
    <row r="46" spans="1:14"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</row>
    <row r="47" spans="1:14">
      <c r="G47" s="207"/>
      <c r="H47" s="207"/>
      <c r="I47" s="207"/>
      <c r="J47" s="207"/>
      <c r="K47" s="207"/>
      <c r="L47" s="207"/>
      <c r="M47" s="207"/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Q47"/>
  <sheetViews>
    <sheetView workbookViewId="0">
      <pane ySplit="4" topLeftCell="A5" activePane="bottomLeft" state="frozen"/>
      <selection activeCell="A26" sqref="A26:XFD26"/>
      <selection pane="bottomLeft" activeCell="G21" sqref="G21"/>
    </sheetView>
  </sheetViews>
  <sheetFormatPr defaultColWidth="12.42578125" defaultRowHeight="15.75"/>
  <cols>
    <col min="1" max="1" width="3.42578125" style="207" bestFit="1" customWidth="1"/>
    <col min="2" max="2" width="50.7109375" style="207" bestFit="1" customWidth="1"/>
    <col min="3" max="3" width="5.140625" style="207" bestFit="1" customWidth="1"/>
    <col min="4" max="4" width="5.140625" style="207" customWidth="1"/>
    <col min="5" max="5" width="5.85546875" style="207" bestFit="1" customWidth="1"/>
    <col min="6" max="6" width="6.140625" style="207" bestFit="1" customWidth="1"/>
    <col min="7" max="12" width="6.140625" style="243" bestFit="1" customWidth="1"/>
    <col min="13" max="13" width="8.140625" style="212" bestFit="1" customWidth="1"/>
    <col min="14" max="14" width="12.42578125" style="207"/>
    <col min="15" max="15" width="12.7109375" style="207" bestFit="1" customWidth="1"/>
    <col min="16" max="16384" width="12.42578125" style="207"/>
  </cols>
  <sheetData>
    <row r="1" spans="1:17">
      <c r="A1" s="207" t="s">
        <v>284</v>
      </c>
    </row>
    <row r="3" spans="1:17" s="263" customFormat="1">
      <c r="B3" s="263" t="s">
        <v>166</v>
      </c>
      <c r="G3" s="264"/>
      <c r="H3" s="265"/>
      <c r="I3" s="265"/>
      <c r="J3" s="265"/>
      <c r="K3" s="265"/>
      <c r="L3" s="265"/>
      <c r="M3" s="266"/>
    </row>
    <row r="4" spans="1:17">
      <c r="B4" s="208"/>
      <c r="C4" s="209" t="s">
        <v>55</v>
      </c>
      <c r="D4" s="209">
        <v>2010</v>
      </c>
      <c r="E4" s="209">
        <v>2015</v>
      </c>
      <c r="F4" s="209">
        <v>2020</v>
      </c>
      <c r="G4" s="210">
        <v>2025</v>
      </c>
      <c r="H4" s="210">
        <v>2030</v>
      </c>
      <c r="I4" s="210">
        <v>2035</v>
      </c>
      <c r="J4" s="210">
        <v>2040</v>
      </c>
      <c r="K4" s="210">
        <v>2045</v>
      </c>
      <c r="L4" s="211">
        <v>2050</v>
      </c>
    </row>
    <row r="5" spans="1:17">
      <c r="A5" s="207">
        <v>1</v>
      </c>
      <c r="B5" s="213" t="s">
        <v>59</v>
      </c>
      <c r="C5" s="213" t="s">
        <v>133</v>
      </c>
      <c r="D5" s="213"/>
      <c r="E5" s="1052">
        <f>[10]EE!E5</f>
        <v>755.511772170462</v>
      </c>
      <c r="F5" s="214">
        <f>[10]EE!F5</f>
        <v>736.24474500630765</v>
      </c>
      <c r="G5" s="214">
        <f>[10]EE!G5</f>
        <v>751.61149356281635</v>
      </c>
      <c r="H5" s="214">
        <f>[10]EE!H5</f>
        <v>707.26462653949716</v>
      </c>
      <c r="I5" s="214">
        <f>[10]EE!I5</f>
        <v>700.15611454776126</v>
      </c>
      <c r="J5" s="214">
        <f>[10]EE!J5</f>
        <v>702.90076922269213</v>
      </c>
      <c r="K5" s="214">
        <f>[10]EE!K5</f>
        <v>704.41792389762304</v>
      </c>
      <c r="L5" s="215">
        <f>[10]EE!L5</f>
        <v>706.71857857255384</v>
      </c>
      <c r="M5" s="216"/>
      <c r="N5" s="207" t="s">
        <v>134</v>
      </c>
    </row>
    <row r="6" spans="1:17">
      <c r="A6" s="207">
        <v>2</v>
      </c>
      <c r="B6" s="217" t="s">
        <v>60</v>
      </c>
      <c r="C6" s="218" t="s">
        <v>133</v>
      </c>
      <c r="D6" s="218"/>
      <c r="E6" s="219">
        <f>[10]EE!E6</f>
        <v>99.736849093538822</v>
      </c>
      <c r="F6" s="219">
        <f>[10]EE!F6</f>
        <v>88.364670647333213</v>
      </c>
      <c r="G6" s="219">
        <f>[10]EE!G6</f>
        <v>90.093557665380402</v>
      </c>
      <c r="H6" s="219">
        <f>[10]EE!H6</f>
        <v>91.20919064206123</v>
      </c>
      <c r="I6" s="219">
        <f>[10]EE!I6</f>
        <v>92.239845316992074</v>
      </c>
      <c r="J6" s="219">
        <f>[10]EE!J6</f>
        <v>93.270499991922918</v>
      </c>
      <c r="K6" s="219">
        <f>[10]EE!K6</f>
        <v>94.301154666853762</v>
      </c>
      <c r="L6" s="220">
        <f>[10]EE!L6</f>
        <v>95.33180934178462</v>
      </c>
      <c r="M6" s="221"/>
    </row>
    <row r="7" spans="1:17">
      <c r="A7" s="207">
        <v>3</v>
      </c>
      <c r="B7" s="222" t="s">
        <v>135</v>
      </c>
      <c r="C7" s="223" t="s">
        <v>133</v>
      </c>
      <c r="D7" s="223"/>
      <c r="E7" s="248">
        <f>[10]EE!E7</f>
        <v>12.8</v>
      </c>
      <c r="F7" s="249">
        <f>[10]EE!F7</f>
        <v>14.601778667555065</v>
      </c>
      <c r="G7" s="250">
        <f>[10]EE!G7</f>
        <v>14.162303945474802</v>
      </c>
      <c r="H7" s="250">
        <f>[10]EE!H7</f>
        <v>15.239619430450491</v>
      </c>
      <c r="I7" s="250">
        <f>[10]EE!I7</f>
        <v>15.747595331278999</v>
      </c>
      <c r="J7" s="250">
        <f>[10]EE!J7</f>
        <v>16.25557123210751</v>
      </c>
      <c r="K7" s="250">
        <f>[10]EE!K7</f>
        <v>16.763547132936022</v>
      </c>
      <c r="L7" s="250">
        <f>[10]EE!L7</f>
        <v>17.271523033764531</v>
      </c>
      <c r="M7" s="226"/>
      <c r="N7" s="207" t="s">
        <v>167</v>
      </c>
    </row>
    <row r="8" spans="1:17">
      <c r="A8" s="207">
        <v>4</v>
      </c>
      <c r="B8" s="227" t="s">
        <v>137</v>
      </c>
      <c r="C8" s="223" t="s">
        <v>133</v>
      </c>
      <c r="D8" s="223"/>
      <c r="E8" s="253">
        <f>[10]EE!E8</f>
        <v>70</v>
      </c>
      <c r="F8" s="267">
        <f>[10]EE!F8</f>
        <v>54.363386035740703</v>
      </c>
      <c r="G8" s="268">
        <f>[10]EE!G8</f>
        <v>55.095018380164021</v>
      </c>
      <c r="H8" s="268">
        <f>[10]EE!H8</f>
        <v>53.696606476165044</v>
      </c>
      <c r="I8" s="268">
        <f>[10]EE!I8</f>
        <v>53.643847355965271</v>
      </c>
      <c r="J8" s="268">
        <f>[10]EE!J8</f>
        <v>53.591088235765497</v>
      </c>
      <c r="K8" s="268">
        <f>[10]EE!K8</f>
        <v>53.538329115565737</v>
      </c>
      <c r="L8" s="268">
        <f>[10]EE!L8</f>
        <v>53.485569995365971</v>
      </c>
      <c r="M8" s="226"/>
      <c r="N8" s="207" t="s">
        <v>136</v>
      </c>
    </row>
    <row r="9" spans="1:17">
      <c r="A9" s="207">
        <v>5</v>
      </c>
      <c r="B9" s="227" t="s">
        <v>138</v>
      </c>
      <c r="C9" s="223" t="s">
        <v>133</v>
      </c>
      <c r="D9" s="223"/>
      <c r="E9" s="248">
        <f>[10]EE!E9</f>
        <v>16.936849093538822</v>
      </c>
      <c r="F9" s="249">
        <f>[10]EE!F9</f>
        <v>19.399505944037443</v>
      </c>
      <c r="G9" s="251">
        <f>[10]EE!G9</f>
        <v>20.836235339741574</v>
      </c>
      <c r="H9" s="251">
        <f>[10]EE!H9</f>
        <v>22.272964735445701</v>
      </c>
      <c r="I9" s="251">
        <f>[10]EE!I9</f>
        <v>22.848402629747802</v>
      </c>
      <c r="J9" s="251">
        <f>[10]EE!J9</f>
        <v>23.423840524049908</v>
      </c>
      <c r="K9" s="251">
        <f>[10]EE!K9</f>
        <v>23.999278418352013</v>
      </c>
      <c r="L9" s="251">
        <f>[10]EE!L9</f>
        <v>24.574716312654115</v>
      </c>
      <c r="M9" s="226"/>
      <c r="N9" s="207" t="s">
        <v>167</v>
      </c>
    </row>
    <row r="10" spans="1:17">
      <c r="A10" s="207">
        <v>6</v>
      </c>
      <c r="B10" s="217" t="s">
        <v>61</v>
      </c>
      <c r="C10" s="218" t="s">
        <v>133</v>
      </c>
      <c r="D10" s="218"/>
      <c r="E10" s="219">
        <f>[10]EE!E10</f>
        <v>0</v>
      </c>
      <c r="F10" s="219">
        <f>[10]EE!F10</f>
        <v>5</v>
      </c>
      <c r="G10" s="219">
        <f>[10]EE!G10</f>
        <v>5</v>
      </c>
      <c r="H10" s="219">
        <f>[10]EE!H10</f>
        <v>5</v>
      </c>
      <c r="I10" s="219">
        <f>[10]EE!I10</f>
        <v>5</v>
      </c>
      <c r="J10" s="219">
        <f>[10]EE!J10</f>
        <v>5</v>
      </c>
      <c r="K10" s="219">
        <f>[10]EE!K10</f>
        <v>5</v>
      </c>
      <c r="L10" s="219">
        <f>[10]EE!L10</f>
        <v>5</v>
      </c>
      <c r="M10" s="221"/>
    </row>
    <row r="11" spans="1:17">
      <c r="A11" s="207">
        <v>7</v>
      </c>
      <c r="B11" s="228" t="s">
        <v>168</v>
      </c>
      <c r="C11" s="229" t="s">
        <v>133</v>
      </c>
      <c r="D11" s="229"/>
      <c r="E11" s="230">
        <f>[10]EE!E11</f>
        <v>0</v>
      </c>
      <c r="F11" s="269">
        <f>[10]EE!F11</f>
        <v>5</v>
      </c>
      <c r="G11" s="269">
        <f>[10]EE!G11</f>
        <v>5</v>
      </c>
      <c r="H11" s="269">
        <f>[10]EE!H11</f>
        <v>5</v>
      </c>
      <c r="I11" s="269">
        <f>[10]EE!I11</f>
        <v>5</v>
      </c>
      <c r="J11" s="269">
        <f>[10]EE!J11</f>
        <v>5</v>
      </c>
      <c r="K11" s="269">
        <f>[10]EE!K11</f>
        <v>5</v>
      </c>
      <c r="L11" s="269">
        <f>[10]EE!L11</f>
        <v>5</v>
      </c>
      <c r="N11" s="207" t="s">
        <v>169</v>
      </c>
    </row>
    <row r="12" spans="1:17">
      <c r="A12" s="207">
        <v>8</v>
      </c>
      <c r="B12" s="228" t="s">
        <v>141</v>
      </c>
      <c r="C12" s="229" t="s">
        <v>133</v>
      </c>
      <c r="D12" s="229"/>
      <c r="E12" s="230">
        <f>[10]EE!E12</f>
        <v>0</v>
      </c>
      <c r="F12" s="230">
        <f>[10]EE!F12</f>
        <v>0</v>
      </c>
      <c r="G12" s="230">
        <f>[10]EE!G12</f>
        <v>0</v>
      </c>
      <c r="H12" s="230">
        <f>[10]EE!H12</f>
        <v>0</v>
      </c>
      <c r="I12" s="230">
        <f>[10]EE!I12</f>
        <v>0</v>
      </c>
      <c r="J12" s="230">
        <f>[10]EE!J12</f>
        <v>0</v>
      </c>
      <c r="K12" s="230">
        <f>[10]EE!K12</f>
        <v>0</v>
      </c>
      <c r="L12" s="230">
        <f>[10]EE!L12</f>
        <v>0</v>
      </c>
    </row>
    <row r="13" spans="1:17">
      <c r="A13" s="207">
        <v>9</v>
      </c>
      <c r="B13" s="710" t="s">
        <v>280</v>
      </c>
      <c r="C13" s="218"/>
      <c r="D13" s="218"/>
      <c r="E13" s="219">
        <f>[10]EE!E13</f>
        <v>655.77492307692319</v>
      </c>
      <c r="F13" s="219">
        <f>[10]EE!F13</f>
        <v>642.88007435897441</v>
      </c>
      <c r="G13" s="219">
        <f>[10]EE!G13</f>
        <v>656.5179358974359</v>
      </c>
      <c r="H13" s="219">
        <f>[10]EE!H13</f>
        <v>611.05543589743593</v>
      </c>
      <c r="I13" s="219">
        <f>[10]EE!I13</f>
        <v>602.91626923076922</v>
      </c>
      <c r="J13" s="219">
        <f>[10]EE!J13</f>
        <v>604.63026923076927</v>
      </c>
      <c r="K13" s="219">
        <f>[10]EE!K13</f>
        <v>605.11676923076925</v>
      </c>
      <c r="L13" s="219">
        <f>[10]EE!L13</f>
        <v>606.38676923076923</v>
      </c>
      <c r="M13" s="221"/>
    </row>
    <row r="14" spans="1:17">
      <c r="A14" s="207">
        <v>10</v>
      </c>
      <c r="B14" s="227" t="s">
        <v>277</v>
      </c>
      <c r="C14" s="223" t="s">
        <v>133</v>
      </c>
      <c r="D14" s="223"/>
      <c r="E14" s="252">
        <f>[10]EE!E14</f>
        <v>135.76530769230772</v>
      </c>
      <c r="F14" s="269">
        <f>[10]EE!F14</f>
        <v>161.8560358974359</v>
      </c>
      <c r="G14" s="269">
        <f>[10]EE!G14</f>
        <v>195.61408974358977</v>
      </c>
      <c r="H14" s="269">
        <f>[10]EE!H14</f>
        <v>197.96408974358977</v>
      </c>
      <c r="I14" s="269">
        <f>[10]EE!I14</f>
        <v>208.94992307692308</v>
      </c>
      <c r="J14" s="269">
        <f>[10]EE!J14</f>
        <v>210.66392307692308</v>
      </c>
      <c r="K14" s="269">
        <f>[10]EE!K14</f>
        <v>211.15042307692306</v>
      </c>
      <c r="L14" s="269">
        <f>[10]EE!L14</f>
        <v>212.42042307692307</v>
      </c>
      <c r="N14" s="207" t="s">
        <v>136</v>
      </c>
      <c r="Q14" s="231"/>
    </row>
    <row r="15" spans="1:17">
      <c r="A15" s="207">
        <v>11</v>
      </c>
      <c r="B15" s="227" t="s">
        <v>278</v>
      </c>
      <c r="C15" s="223" t="s">
        <v>133</v>
      </c>
      <c r="D15" s="223"/>
      <c r="E15" s="252">
        <f>[10]EE!E15</f>
        <v>271.38461538461542</v>
      </c>
      <c r="F15" s="269">
        <f>[10]EE!F15</f>
        <v>318.46153846153851</v>
      </c>
      <c r="G15" s="269">
        <f>[10]EE!G15</f>
        <v>346.15384615384613</v>
      </c>
      <c r="H15" s="269">
        <f>[10]EE!H15</f>
        <v>346.15384615384613</v>
      </c>
      <c r="I15" s="269">
        <f>[10]EE!I15</f>
        <v>346.15384615384613</v>
      </c>
      <c r="J15" s="269">
        <f>[10]EE!J15</f>
        <v>346.15384615384613</v>
      </c>
      <c r="K15" s="269">
        <f>[10]EE!K15</f>
        <v>346.15384615384613</v>
      </c>
      <c r="L15" s="269">
        <f>[10]EE!L15</f>
        <v>346.15384615384613</v>
      </c>
      <c r="N15" s="207" t="s">
        <v>136</v>
      </c>
    </row>
    <row r="16" spans="1:17">
      <c r="A16" s="207">
        <v>12</v>
      </c>
      <c r="B16" s="227" t="s">
        <v>279</v>
      </c>
      <c r="C16" s="223" t="s">
        <v>133</v>
      </c>
      <c r="D16" s="223"/>
      <c r="E16" s="252">
        <f>[10]EE!E16</f>
        <v>175.5</v>
      </c>
      <c r="F16" s="269">
        <f>[10]EE!F16</f>
        <v>114.75</v>
      </c>
      <c r="G16" s="269">
        <f>[10]EE!G16</f>
        <v>81</v>
      </c>
      <c r="H16" s="269">
        <f>[10]EE!H16</f>
        <v>47.25</v>
      </c>
      <c r="I16" s="269">
        <f>[10]EE!I16</f>
        <v>33.75</v>
      </c>
      <c r="J16" s="269">
        <f>[10]EE!J16</f>
        <v>33.75</v>
      </c>
      <c r="K16" s="269">
        <f>[10]EE!K16</f>
        <v>33.75</v>
      </c>
      <c r="L16" s="269">
        <f>[10]EE!L16</f>
        <v>33.75</v>
      </c>
      <c r="N16" s="207" t="s">
        <v>136</v>
      </c>
    </row>
    <row r="17" spans="1:17">
      <c r="A17" s="207">
        <v>13</v>
      </c>
      <c r="B17" s="227" t="s">
        <v>281</v>
      </c>
      <c r="C17" s="223" t="s">
        <v>133</v>
      </c>
      <c r="D17" s="223"/>
      <c r="E17" s="252">
        <f>[10]EE!E17</f>
        <v>73.125</v>
      </c>
      <c r="F17" s="269">
        <f>[10]EE!F17</f>
        <v>47.8125</v>
      </c>
      <c r="G17" s="269">
        <f>[10]EE!G17</f>
        <v>33.75</v>
      </c>
      <c r="H17" s="269">
        <f>[10]EE!H17</f>
        <v>19.6875</v>
      </c>
      <c r="I17" s="269">
        <f>[10]EE!I17</f>
        <v>14.0625</v>
      </c>
      <c r="J17" s="269">
        <f>[10]EE!J17</f>
        <v>14.0625</v>
      </c>
      <c r="K17" s="269">
        <f>[10]EE!K17</f>
        <v>14.0625</v>
      </c>
      <c r="L17" s="269">
        <f>[10]EE!L17</f>
        <v>14.0625</v>
      </c>
      <c r="N17" s="207" t="s">
        <v>136</v>
      </c>
    </row>
    <row r="18" spans="1:17">
      <c r="A18" s="207">
        <v>14</v>
      </c>
      <c r="B18" s="213" t="s">
        <v>144</v>
      </c>
      <c r="C18" s="213" t="s">
        <v>133</v>
      </c>
      <c r="D18" s="213"/>
      <c r="E18" s="214">
        <f>[10]EE!E18</f>
        <v>495.01153397364158</v>
      </c>
      <c r="F18" s="214">
        <f>[10]EE!F18</f>
        <v>545.25517840261205</v>
      </c>
      <c r="G18" s="214">
        <f>[10]EE!G18</f>
        <v>553.16004134452123</v>
      </c>
      <c r="H18" s="214">
        <f>[10]EE!H18</f>
        <v>552.22793766149789</v>
      </c>
      <c r="I18" s="214">
        <f>[10]EE!I18</f>
        <v>559.94232852569098</v>
      </c>
      <c r="J18" s="214">
        <f>[10]EE!J18</f>
        <v>569.39916186822575</v>
      </c>
      <c r="K18" s="214">
        <f>[10]EE!K18</f>
        <v>579.22197858799882</v>
      </c>
      <c r="L18" s="214">
        <f>[10]EE!L18</f>
        <v>589.09623009880625</v>
      </c>
      <c r="M18" s="216"/>
      <c r="P18" s="232"/>
      <c r="Q18" s="232"/>
    </row>
    <row r="19" spans="1:17">
      <c r="A19" s="207">
        <v>15</v>
      </c>
      <c r="B19" s="217" t="s">
        <v>60</v>
      </c>
      <c r="C19" s="218" t="s">
        <v>133</v>
      </c>
      <c r="D19" s="218"/>
      <c r="E19" s="219">
        <f>[10]EE!E19</f>
        <v>205.60527364030821</v>
      </c>
      <c r="F19" s="219">
        <f>[10]EE!F19</f>
        <v>215.20129123950832</v>
      </c>
      <c r="G19" s="219">
        <f>[10]EE!G19</f>
        <v>224.79730883870843</v>
      </c>
      <c r="H19" s="219">
        <f>[10]EE!H19</f>
        <v>224.12027567466103</v>
      </c>
      <c r="I19" s="219">
        <f>[10]EE!I19</f>
        <v>225.73039138715177</v>
      </c>
      <c r="J19" s="219">
        <f>[10]EE!J19</f>
        <v>227.34050709964242</v>
      </c>
      <c r="K19" s="219">
        <f>[10]EE!K19</f>
        <v>228.95062281213316</v>
      </c>
      <c r="L19" s="220">
        <f>[10]EE!L19</f>
        <v>230.5607385246239</v>
      </c>
      <c r="M19" s="221"/>
      <c r="O19" s="233"/>
    </row>
    <row r="20" spans="1:17">
      <c r="A20" s="207">
        <v>16</v>
      </c>
      <c r="B20" s="227" t="s">
        <v>137</v>
      </c>
      <c r="C20" s="223" t="s">
        <v>133</v>
      </c>
      <c r="D20" s="223"/>
      <c r="E20" s="253">
        <f>[10]EE!E20</f>
        <v>161</v>
      </c>
      <c r="F20" s="255">
        <f>[10]EE!F20</f>
        <v>168.11462251477332</v>
      </c>
      <c r="G20" s="255">
        <f>[10]EE!G20</f>
        <v>175.22924502954663</v>
      </c>
      <c r="H20" s="255">
        <f>[10]EE!H20</f>
        <v>170.78160766808432</v>
      </c>
      <c r="I20" s="255">
        <f>[10]EE!I20</f>
        <v>170.61380772767527</v>
      </c>
      <c r="J20" s="255">
        <f>[10]EE!J20</f>
        <v>170.44600778726615</v>
      </c>
      <c r="K20" s="255">
        <f>[10]EE!K20</f>
        <v>170.2782078468571</v>
      </c>
      <c r="L20" s="255">
        <f>[10]EE!L20</f>
        <v>170.11040790644805</v>
      </c>
      <c r="M20" s="236"/>
      <c r="N20" s="207" t="s">
        <v>170</v>
      </c>
    </row>
    <row r="21" spans="1:17">
      <c r="A21" s="207">
        <v>17</v>
      </c>
      <c r="B21" s="227" t="s">
        <v>146</v>
      </c>
      <c r="C21" s="223" t="s">
        <v>133</v>
      </c>
      <c r="D21" s="223"/>
      <c r="E21" s="253">
        <f>[10]EE!E21</f>
        <v>44.605273640308226</v>
      </c>
      <c r="F21" s="254">
        <f>[10]EE!F21</f>
        <v>47.086668724735013</v>
      </c>
      <c r="G21" s="254">
        <f>[10]EE!G21</f>
        <v>49.568063809161799</v>
      </c>
      <c r="H21" s="254">
        <f>[10]EE!H21</f>
        <v>53.338668006576711</v>
      </c>
      <c r="I21" s="254">
        <f>[10]EE!I21</f>
        <v>55.11658365947649</v>
      </c>
      <c r="J21" s="254">
        <f>[10]EE!J21</f>
        <v>56.894499312376269</v>
      </c>
      <c r="K21" s="254">
        <f>[10]EE!K21</f>
        <v>58.672414965276069</v>
      </c>
      <c r="L21" s="254">
        <f>[10]EE!L21</f>
        <v>60.45033061817584</v>
      </c>
      <c r="M21" s="236"/>
      <c r="N21" s="207" t="s">
        <v>171</v>
      </c>
    </row>
    <row r="22" spans="1:17">
      <c r="A22" s="207">
        <v>18</v>
      </c>
      <c r="B22" s="217" t="s">
        <v>61</v>
      </c>
      <c r="C22" s="218" t="s">
        <v>133</v>
      </c>
      <c r="D22" s="218"/>
      <c r="E22" s="219">
        <f>[10]EE!E22</f>
        <v>17.567250000000001</v>
      </c>
      <c r="F22" s="219">
        <f>[10]EE!F22</f>
        <v>43.853996629770378</v>
      </c>
      <c r="G22" s="219">
        <f>[10]EE!G22</f>
        <v>45.354711505812794</v>
      </c>
      <c r="H22" s="219">
        <f>[10]EE!H22</f>
        <v>46.843748520170074</v>
      </c>
      <c r="I22" s="219">
        <f>[10]EE!I22</f>
        <v>45.908766871872601</v>
      </c>
      <c r="J22" s="219">
        <f>[10]EE!J22</f>
        <v>44.99634770191669</v>
      </c>
      <c r="K22" s="219">
        <f>[10]EE!K22</f>
        <v>44.105464709199012</v>
      </c>
      <c r="L22" s="219">
        <f>[10]EE!L22</f>
        <v>43.235152907515683</v>
      </c>
      <c r="M22" s="221"/>
    </row>
    <row r="23" spans="1:17">
      <c r="A23" s="207">
        <v>19</v>
      </c>
      <c r="B23" s="227"/>
      <c r="C23" s="223"/>
      <c r="D23" s="223"/>
      <c r="E23" s="229">
        <f>[10]EE!E23</f>
        <v>0</v>
      </c>
      <c r="F23" s="229">
        <f>[10]EE!F23</f>
        <v>0</v>
      </c>
      <c r="G23" s="268">
        <f>[10]EE!G23</f>
        <v>0</v>
      </c>
      <c r="H23" s="268">
        <f>[10]EE!H23</f>
        <v>0</v>
      </c>
      <c r="I23" s="268">
        <f>[10]EE!I23</f>
        <v>0</v>
      </c>
      <c r="J23" s="268">
        <f>[10]EE!J23</f>
        <v>0</v>
      </c>
      <c r="K23" s="268">
        <f>[10]EE!K23</f>
        <v>0</v>
      </c>
      <c r="L23" s="268">
        <f>[10]EE!L23</f>
        <v>0</v>
      </c>
      <c r="M23" s="238"/>
      <c r="N23" s="237" t="s">
        <v>148</v>
      </c>
    </row>
    <row r="24" spans="1:17">
      <c r="A24" s="207">
        <v>20</v>
      </c>
      <c r="B24" s="227" t="s">
        <v>149</v>
      </c>
      <c r="C24" s="223" t="s">
        <v>133</v>
      </c>
      <c r="D24" s="270"/>
      <c r="E24" s="271">
        <f>[10]EE!E24</f>
        <v>15</v>
      </c>
      <c r="F24" s="268">
        <f>[10]EE!F24</f>
        <v>17.510197031897615</v>
      </c>
      <c r="G24" s="268">
        <f>[10]EE!G24</f>
        <v>18.187429065980186</v>
      </c>
      <c r="H24" s="268">
        <f>[10]EE!H24</f>
        <v>18.864661100062758</v>
      </c>
      <c r="I24" s="268">
        <f>[10]EE!I24</f>
        <v>18.662427563140163</v>
      </c>
      <c r="J24" s="268">
        <f>[10]EE!J24</f>
        <v>18.460194026217568</v>
      </c>
      <c r="K24" s="268">
        <f>[10]EE!K24</f>
        <v>18.25796048929497</v>
      </c>
      <c r="L24" s="268">
        <f>[10]EE!L24</f>
        <v>18.055726952372378</v>
      </c>
      <c r="M24" s="236"/>
      <c r="N24" s="237" t="s">
        <v>148</v>
      </c>
    </row>
    <row r="25" spans="1:17">
      <c r="A25" s="207">
        <v>21</v>
      </c>
      <c r="B25" s="227" t="s">
        <v>172</v>
      </c>
      <c r="C25" s="223" t="s">
        <v>133</v>
      </c>
      <c r="D25" s="223"/>
      <c r="E25" s="248">
        <f>[10]EE!E25</f>
        <v>2.5672499999999996</v>
      </c>
      <c r="F25" s="268">
        <f>[10]EE!F25</f>
        <v>26.343799597872763</v>
      </c>
      <c r="G25" s="268">
        <f>[10]EE!G25</f>
        <v>27.167282439832608</v>
      </c>
      <c r="H25" s="268">
        <f>[10]EE!H25</f>
        <v>27.979087420107316</v>
      </c>
      <c r="I25" s="268">
        <f>[10]EE!I25</f>
        <v>27.246339308732434</v>
      </c>
      <c r="J25" s="268">
        <f>[10]EE!J25</f>
        <v>26.536153675699122</v>
      </c>
      <c r="K25" s="268">
        <f>[10]EE!K25</f>
        <v>25.847504219904046</v>
      </c>
      <c r="L25" s="268">
        <f>[10]EE!L25</f>
        <v>25.179425955143302</v>
      </c>
    </row>
    <row r="26" spans="1:17">
      <c r="B26" s="804" t="s">
        <v>288</v>
      </c>
      <c r="C26" s="805"/>
      <c r="D26" s="805"/>
      <c r="E26" s="1046">
        <f>[10]EE!E26</f>
        <v>271.83901033333336</v>
      </c>
      <c r="F26" s="1046">
        <f>[10]EE!F26</f>
        <v>286.19989053333342</v>
      </c>
      <c r="G26" s="1046">
        <f>[10]EE!G26</f>
        <v>283.00802099999999</v>
      </c>
      <c r="H26" s="1046">
        <f>[10]EE!H26</f>
        <v>281.26391346666674</v>
      </c>
      <c r="I26" s="1046">
        <f>[10]EE!I26</f>
        <v>288.30317026666665</v>
      </c>
      <c r="J26" s="1046">
        <f>[10]EE!J26</f>
        <v>297.06230706666668</v>
      </c>
      <c r="K26" s="1046">
        <f>[10]EE!K26</f>
        <v>306.16589106666669</v>
      </c>
      <c r="L26" s="1046">
        <f>[10]EE!L26</f>
        <v>315.30033866666668</v>
      </c>
    </row>
    <row r="27" spans="1:17">
      <c r="B27" s="806" t="s">
        <v>289</v>
      </c>
      <c r="C27" s="807" t="s">
        <v>133</v>
      </c>
      <c r="D27" s="807"/>
      <c r="E27" s="1051">
        <f>[10]EE!E27</f>
        <v>21.596274000000001</v>
      </c>
      <c r="F27" s="1051">
        <f>[10]EE!F27</f>
        <v>25.603829999999999</v>
      </c>
      <c r="G27" s="1051">
        <f>[10]EE!G27</f>
        <v>27.830249999999999</v>
      </c>
      <c r="H27" s="1051">
        <f>[10]EE!H27</f>
        <v>27.830249999999999</v>
      </c>
      <c r="I27" s="1051">
        <f>[10]EE!I27</f>
        <v>27.830249999999999</v>
      </c>
      <c r="J27" s="1051">
        <f>[10]EE!J27</f>
        <v>27.830249999999999</v>
      </c>
      <c r="K27" s="1051">
        <f>[10]EE!K27</f>
        <v>27.830249999999999</v>
      </c>
      <c r="L27" s="1051">
        <f>[10]EE!L27</f>
        <v>27.830249999999999</v>
      </c>
    </row>
    <row r="28" spans="1:17">
      <c r="B28" s="806" t="s">
        <v>290</v>
      </c>
      <c r="C28" s="807" t="s">
        <v>133</v>
      </c>
      <c r="D28" s="807"/>
      <c r="E28" s="807">
        <f>[10]EE!E28</f>
        <v>250.13416400000003</v>
      </c>
      <c r="F28" s="807">
        <f>[10]EE!F28</f>
        <v>259.93041200000005</v>
      </c>
      <c r="G28" s="807">
        <f>[10]EE!G28</f>
        <v>249.54045200000002</v>
      </c>
      <c r="H28" s="807">
        <f>[10]EE!H28</f>
        <v>242.11905200000004</v>
      </c>
      <c r="I28" s="807">
        <f>[10]EE!I28</f>
        <v>240.88215200000002</v>
      </c>
      <c r="J28" s="807">
        <f>[10]EE!J28</f>
        <v>240.88215200000002</v>
      </c>
      <c r="K28" s="807">
        <f>[10]EE!K28</f>
        <v>240.88215200000002</v>
      </c>
      <c r="L28" s="807">
        <f>[10]EE!L28</f>
        <v>240.88215200000002</v>
      </c>
    </row>
    <row r="29" spans="1:17">
      <c r="B29" s="806" t="s">
        <v>291</v>
      </c>
      <c r="C29" s="807" t="s">
        <v>133</v>
      </c>
      <c r="D29" s="807"/>
      <c r="E29" s="807">
        <f>[10]EE!E29</f>
        <v>0.10857233333333334</v>
      </c>
      <c r="F29" s="807">
        <f>[10]EE!F29</f>
        <v>0.6656485333333334</v>
      </c>
      <c r="G29" s="807">
        <f>[10]EE!G29</f>
        <v>5.6373190000000015</v>
      </c>
      <c r="H29" s="807">
        <f>[10]EE!H29</f>
        <v>11.314611466666669</v>
      </c>
      <c r="I29" s="807">
        <f>[10]EE!I29</f>
        <v>19.590768266666668</v>
      </c>
      <c r="J29" s="807">
        <f>[10]EE!J29</f>
        <v>28.349905066666672</v>
      </c>
      <c r="K29" s="807">
        <f>[10]EE!K29</f>
        <v>37.45348906666667</v>
      </c>
      <c r="L29" s="807">
        <f>[10]EE!L29</f>
        <v>46.587936666666671</v>
      </c>
    </row>
    <row r="30" spans="1:17">
      <c r="A30" s="207">
        <v>22</v>
      </c>
      <c r="B30" s="213" t="s">
        <v>65</v>
      </c>
      <c r="C30" s="213" t="s">
        <v>133</v>
      </c>
      <c r="D30" s="213"/>
      <c r="E30" s="214">
        <f>[10]EE!E30</f>
        <v>80.697777436650398</v>
      </c>
      <c r="F30" s="214">
        <f>[10]EE!F30</f>
        <v>94.277388548689089</v>
      </c>
      <c r="G30" s="214">
        <f>[10]EE!G30</f>
        <v>107.60930688055461</v>
      </c>
      <c r="H30" s="214">
        <f>[10]EE!H30</f>
        <v>104.79280800132614</v>
      </c>
      <c r="I30" s="214">
        <f>[10]EE!I30</f>
        <v>102.5133283345676</v>
      </c>
      <c r="J30" s="214">
        <f>[10]EE!J30</f>
        <v>101.25799523110288</v>
      </c>
      <c r="K30" s="214">
        <f>[10]EE!K30</f>
        <v>100.94366191605138</v>
      </c>
      <c r="L30" s="215">
        <f>[10]EE!L30</f>
        <v>101.52505114179371</v>
      </c>
      <c r="M30" s="216"/>
      <c r="N30" s="256" t="s">
        <v>173</v>
      </c>
    </row>
    <row r="31" spans="1:17">
      <c r="A31" s="207">
        <v>23</v>
      </c>
      <c r="B31" s="240" t="s">
        <v>66</v>
      </c>
      <c r="C31" s="223" t="s">
        <v>133</v>
      </c>
      <c r="D31" s="223"/>
      <c r="E31" s="253">
        <f>[10]EE!E31</f>
        <v>16.808271672135472</v>
      </c>
      <c r="F31" s="267">
        <f>[10]EE!F31</f>
        <v>21.756320434312869</v>
      </c>
      <c r="G31" s="267">
        <f>[10]EE!G31</f>
        <v>26.227429234515608</v>
      </c>
      <c r="H31" s="267">
        <f>[10]EE!H31</f>
        <v>27.423237896079673</v>
      </c>
      <c r="I31" s="267">
        <f>[10]EE!I31</f>
        <v>28.004627121822036</v>
      </c>
      <c r="J31" s="267">
        <f>[10]EE!J31</f>
        <v>28.586016347564392</v>
      </c>
      <c r="K31" s="267">
        <f>[10]EE!K31</f>
        <v>29.167405573306745</v>
      </c>
      <c r="L31" s="267">
        <f>[10]EE!L31</f>
        <v>29.748794799049094</v>
      </c>
      <c r="M31" s="236"/>
      <c r="N31" s="207" t="s">
        <v>160</v>
      </c>
    </row>
    <row r="32" spans="1:17">
      <c r="A32" s="207">
        <v>24</v>
      </c>
      <c r="B32" s="240" t="s">
        <v>152</v>
      </c>
      <c r="C32" s="223" t="s">
        <v>133</v>
      </c>
      <c r="D32" s="223"/>
      <c r="E32" s="253">
        <f>[10]EE!E32</f>
        <v>19.609650284158047</v>
      </c>
      <c r="F32" s="267">
        <f>[10]EE!F32</f>
        <v>27.195400542891086</v>
      </c>
      <c r="G32" s="267">
        <f>[10]EE!G32</f>
        <v>30.518204117264631</v>
      </c>
      <c r="H32" s="267">
        <f>[10]EE!H32</f>
        <v>29.013588789467427</v>
      </c>
      <c r="I32" s="267">
        <f>[10]EE!I32</f>
        <v>27.940762954779586</v>
      </c>
      <c r="J32" s="267">
        <f>[10]EE!J32</f>
        <v>27.251992081326932</v>
      </c>
      <c r="K32" s="267">
        <f>[10]EE!K32</f>
        <v>26.916096128529237</v>
      </c>
      <c r="L32" s="267">
        <f>[10]EE!L32</f>
        <v>26.916096128529237</v>
      </c>
      <c r="M32" s="236"/>
      <c r="N32" s="207" t="s">
        <v>174</v>
      </c>
    </row>
    <row r="33" spans="1:14">
      <c r="A33" s="207">
        <v>25</v>
      </c>
      <c r="B33" s="241" t="s">
        <v>154</v>
      </c>
      <c r="C33" s="223" t="s">
        <v>133</v>
      </c>
      <c r="D33" s="223"/>
      <c r="E33" s="253">
        <f>[10]EE!E33</f>
        <v>44.279855480356886</v>
      </c>
      <c r="F33" s="267">
        <f>[10]EE!F33</f>
        <v>45.325667571485141</v>
      </c>
      <c r="G33" s="267">
        <f>[10]EE!G33</f>
        <v>50.863673528774378</v>
      </c>
      <c r="H33" s="267">
        <f>[10]EE!H33</f>
        <v>48.35598131577904</v>
      </c>
      <c r="I33" s="267">
        <f>[10]EE!I33</f>
        <v>46.56793825796597</v>
      </c>
      <c r="J33" s="267">
        <f>[10]EE!J33</f>
        <v>45.419986802211547</v>
      </c>
      <c r="K33" s="267">
        <f>[10]EE!K33</f>
        <v>44.860160214215391</v>
      </c>
      <c r="L33" s="267">
        <f>[10]EE!L33</f>
        <v>44.860160214215391</v>
      </c>
      <c r="M33" s="236"/>
      <c r="N33" s="207" t="s">
        <v>174</v>
      </c>
    </row>
    <row r="34" spans="1:14">
      <c r="B34" s="213" t="s">
        <v>97</v>
      </c>
      <c r="C34" s="213" t="s">
        <v>133</v>
      </c>
      <c r="D34" s="213"/>
      <c r="E34" s="214">
        <f>[10]EE!E34</f>
        <v>0</v>
      </c>
      <c r="F34" s="214">
        <f>[10]EE!F34</f>
        <v>73.34390091119613</v>
      </c>
      <c r="G34" s="214">
        <f>[10]EE!G34</f>
        <v>118.7658888001687</v>
      </c>
      <c r="H34" s="214">
        <f>[10]EE!H34</f>
        <v>164.18787668914126</v>
      </c>
      <c r="I34" s="214">
        <f>[10]EE!I34</f>
        <v>176.50196744082686</v>
      </c>
      <c r="J34" s="214">
        <f>[10]EE!J34</f>
        <v>189.73961499888887</v>
      </c>
      <c r="K34" s="214">
        <f>[10]EE!K34</f>
        <v>203.97008612380552</v>
      </c>
      <c r="L34" s="214">
        <f>[10]EE!L34</f>
        <v>219.26784258309095</v>
      </c>
      <c r="M34" s="236"/>
      <c r="N34" s="257">
        <v>1000</v>
      </c>
    </row>
    <row r="35" spans="1:14">
      <c r="B35" s="217"/>
      <c r="C35" s="218"/>
      <c r="M35" s="236"/>
    </row>
    <row r="36" spans="1:14">
      <c r="B36" s="222" t="s">
        <v>131</v>
      </c>
      <c r="C36" s="223" t="s">
        <v>133</v>
      </c>
      <c r="D36" s="213"/>
      <c r="E36" s="214">
        <f>[10]EE!E36</f>
        <v>0</v>
      </c>
      <c r="F36" s="214">
        <f>[10]EE!F36</f>
        <v>74.728890853572352</v>
      </c>
      <c r="G36" s="214">
        <f>[10]EE!G36</f>
        <v>137.82617919622351</v>
      </c>
      <c r="H36" s="214">
        <f>[10]EE!H36</f>
        <v>200.92346753887472</v>
      </c>
      <c r="I36" s="214">
        <f>[10]EE!I36</f>
        <v>221.82252496040419</v>
      </c>
      <c r="J36" s="214">
        <f>[10]EE!J36</f>
        <v>239.68595738193392</v>
      </c>
      <c r="K36" s="214">
        <f>[10]EE!K36</f>
        <v>268.59856421769865</v>
      </c>
      <c r="L36" s="214">
        <f>[10]EE!L36</f>
        <v>283.42689683436811</v>
      </c>
      <c r="M36" s="258"/>
      <c r="N36" s="258"/>
    </row>
    <row r="37" spans="1:14">
      <c r="M37" s="258"/>
      <c r="N37" s="258"/>
    </row>
    <row r="38" spans="1:14">
      <c r="B38" s="258"/>
      <c r="C38" s="258"/>
      <c r="D38" s="258"/>
      <c r="E38" s="258"/>
      <c r="F38" s="259"/>
      <c r="G38" s="256" t="s">
        <v>162</v>
      </c>
      <c r="H38" s="258"/>
      <c r="I38" s="258"/>
      <c r="J38" s="258"/>
      <c r="K38" s="258"/>
      <c r="L38" s="258"/>
      <c r="M38" s="258"/>
      <c r="N38" s="258"/>
    </row>
    <row r="39" spans="1:14">
      <c r="B39" s="258"/>
      <c r="C39" s="258"/>
      <c r="D39" s="258"/>
      <c r="E39" s="258"/>
      <c r="F39" s="260"/>
      <c r="G39" s="256" t="s">
        <v>163</v>
      </c>
      <c r="H39" s="258"/>
      <c r="I39" s="258"/>
      <c r="J39" s="258"/>
      <c r="K39" s="258"/>
      <c r="L39" s="258"/>
      <c r="M39" s="258"/>
      <c r="N39" s="258"/>
    </row>
    <row r="40" spans="1:14">
      <c r="B40" s="258"/>
      <c r="C40" s="258"/>
      <c r="D40" s="258"/>
      <c r="E40" s="258"/>
      <c r="F40" s="261"/>
      <c r="G40" s="256" t="s">
        <v>164</v>
      </c>
      <c r="H40" s="258"/>
      <c r="I40" s="258"/>
      <c r="J40" s="258"/>
      <c r="K40" s="258"/>
      <c r="L40" s="258"/>
      <c r="M40" s="258"/>
      <c r="N40" s="258"/>
    </row>
    <row r="41" spans="1:14">
      <c r="B41" s="258"/>
      <c r="C41" s="258"/>
      <c r="D41" s="258"/>
      <c r="E41" s="258"/>
      <c r="F41" s="262"/>
      <c r="G41" s="256" t="s">
        <v>165</v>
      </c>
      <c r="H41" s="258"/>
      <c r="I41" s="258"/>
      <c r="J41" s="258"/>
      <c r="K41" s="258"/>
      <c r="L41" s="258"/>
      <c r="M41" s="258"/>
      <c r="N41" s="258"/>
    </row>
    <row r="42" spans="1:14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</row>
    <row r="43" spans="1:14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</row>
    <row r="44" spans="1:14"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</row>
    <row r="45" spans="1:14"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</row>
    <row r="46" spans="1:14"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</row>
    <row r="47" spans="1:14">
      <c r="G47" s="207"/>
      <c r="H47" s="207"/>
      <c r="I47" s="207"/>
      <c r="J47" s="207"/>
      <c r="K47" s="207"/>
      <c r="L47" s="207"/>
      <c r="M47" s="207"/>
    </row>
  </sheetData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K13" sqref="K13"/>
    </sheetView>
  </sheetViews>
  <sheetFormatPr defaultColWidth="12.42578125" defaultRowHeight="15.75"/>
  <cols>
    <col min="1" max="5" width="12.42578125" style="207"/>
    <col min="6" max="6" width="12.7109375" style="207" bestFit="1" customWidth="1"/>
    <col min="7" max="16384" width="12.42578125" style="207"/>
  </cols>
  <sheetData>
    <row r="1" spans="1:18">
      <c r="B1" s="207">
        <v>2010</v>
      </c>
      <c r="C1" s="207">
        <v>2015</v>
      </c>
      <c r="D1" s="207">
        <v>2020</v>
      </c>
      <c r="E1" s="207">
        <v>2025</v>
      </c>
      <c r="F1" s="207">
        <v>2030</v>
      </c>
      <c r="G1" s="207">
        <v>2035</v>
      </c>
      <c r="H1" s="207">
        <v>2040</v>
      </c>
      <c r="I1" s="207">
        <v>2045</v>
      </c>
      <c r="J1" s="207">
        <v>2050</v>
      </c>
    </row>
    <row r="2" spans="1:18">
      <c r="A2" s="207" t="s">
        <v>125</v>
      </c>
      <c r="B2" s="231">
        <f>[10]STREAM!B$101</f>
        <v>0</v>
      </c>
      <c r="C2" s="231">
        <f>[10]STREAM!C$101</f>
        <v>0</v>
      </c>
      <c r="D2" s="231">
        <f>[10]STREAM!D$101</f>
        <v>0</v>
      </c>
      <c r="E2" s="231">
        <f>[10]STREAM!E$101</f>
        <v>8.9384185735931556</v>
      </c>
      <c r="F2" s="231">
        <f>[10]STREAM!F$101</f>
        <v>17.876837147186311</v>
      </c>
      <c r="G2" s="231">
        <f>[10]STREAM!G$101</f>
        <v>0</v>
      </c>
      <c r="H2" s="231">
        <f>[10]STREAM!H$101</f>
        <v>0</v>
      </c>
      <c r="I2" s="231">
        <f>[10]STREAM!I$101</f>
        <v>0</v>
      </c>
      <c r="J2" s="231">
        <f>[10]STREAM!J$101</f>
        <v>0</v>
      </c>
    </row>
    <row r="3" spans="1:18">
      <c r="A3" s="207" t="s">
        <v>156</v>
      </c>
      <c r="B3" s="231">
        <f>[10]STREAM!B$118</f>
        <v>0</v>
      </c>
      <c r="C3" s="231">
        <f>[10]STREAM!C$118</f>
        <v>0</v>
      </c>
      <c r="D3" s="231">
        <f>[10]STREAM!D$118</f>
        <v>15.6</v>
      </c>
      <c r="E3" s="231">
        <f>[10]STREAM!E$118</f>
        <v>33.299999999999997</v>
      </c>
      <c r="F3" s="231">
        <f>[10]STREAM!F$118</f>
        <v>51</v>
      </c>
      <c r="G3" s="231">
        <f>[10]STREAM!G$118</f>
        <v>84.7927538577907</v>
      </c>
      <c r="H3" s="231">
        <f>[10]STREAM!H$118</f>
        <v>118.58550771558141</v>
      </c>
      <c r="I3" s="231">
        <f>[10]STREAM!I$118</f>
        <v>152.37826157337213</v>
      </c>
      <c r="J3" s="231">
        <f>[10]STREAM!J$118</f>
        <v>186.17101543116283</v>
      </c>
    </row>
    <row r="4" spans="1:18">
      <c r="A4" s="207" t="s">
        <v>166</v>
      </c>
      <c r="B4" s="231">
        <f>[10]STREAM!B$138</f>
        <v>0</v>
      </c>
      <c r="C4" s="231">
        <f>[10]STREAM!C$138</f>
        <v>0</v>
      </c>
      <c r="D4" s="231">
        <f>[10]STREAM!D$138</f>
        <v>28.684395184509324</v>
      </c>
      <c r="E4" s="231">
        <f>[10]STREAM!E$138</f>
        <v>90.318755467796478</v>
      </c>
      <c r="F4" s="231">
        <f>[10]STREAM!F$138</f>
        <v>151.95311575108363</v>
      </c>
      <c r="G4" s="231">
        <f>[10]STREAM!G$138</f>
        <v>226.40099146255869</v>
      </c>
      <c r="H4" s="231">
        <f>[10]STREAM!H$138</f>
        <v>300.84886717403373</v>
      </c>
      <c r="I4" s="231">
        <f>[10]STREAM!I$138</f>
        <v>375.29674288550882</v>
      </c>
      <c r="J4" s="231">
        <f>[10]STREAM!J$138</f>
        <v>449.74461859698386</v>
      </c>
    </row>
    <row r="5" spans="1:18">
      <c r="A5" s="207" t="s">
        <v>292</v>
      </c>
      <c r="B5" s="231"/>
      <c r="C5" s="231">
        <f t="shared" ref="C5:J5" si="0">C4/2*1000</f>
        <v>0</v>
      </c>
      <c r="D5" s="231">
        <f t="shared" si="0"/>
        <v>14342.197592254663</v>
      </c>
      <c r="E5" s="231">
        <f t="shared" si="0"/>
        <v>45159.37773389824</v>
      </c>
      <c r="F5" s="231">
        <f t="shared" si="0"/>
        <v>75976.55787554181</v>
      </c>
      <c r="G5" s="231">
        <f t="shared" si="0"/>
        <v>113200.49573127934</v>
      </c>
      <c r="H5" s="231">
        <f t="shared" si="0"/>
        <v>150424.43358701686</v>
      </c>
      <c r="I5" s="231">
        <f t="shared" si="0"/>
        <v>187648.3714427544</v>
      </c>
      <c r="J5" s="231">
        <f t="shared" si="0"/>
        <v>224872.30929849192</v>
      </c>
    </row>
    <row r="7" spans="1:18" ht="16.5" thickBot="1">
      <c r="A7" s="207" t="s">
        <v>312</v>
      </c>
      <c r="C7" s="207">
        <v>1.2</v>
      </c>
      <c r="D7" s="207" t="s">
        <v>293</v>
      </c>
      <c r="M7" s="810" t="s">
        <v>294</v>
      </c>
    </row>
    <row r="8" spans="1:18">
      <c r="A8" s="811"/>
      <c r="B8" s="812">
        <v>2010</v>
      </c>
      <c r="C8" s="812">
        <v>2015</v>
      </c>
      <c r="D8" s="812">
        <v>2020</v>
      </c>
      <c r="E8" s="812">
        <v>2025</v>
      </c>
      <c r="F8" s="812">
        <v>2030</v>
      </c>
      <c r="G8" s="812">
        <v>2035</v>
      </c>
      <c r="H8" s="812">
        <v>2040</v>
      </c>
      <c r="I8" s="812">
        <v>2045</v>
      </c>
      <c r="J8" s="813">
        <v>2050</v>
      </c>
      <c r="M8" s="814" t="s">
        <v>295</v>
      </c>
    </row>
    <row r="9" spans="1:18">
      <c r="A9" s="360" t="s">
        <v>156</v>
      </c>
      <c r="B9" s="815">
        <f>B3*$C$7*1000000</f>
        <v>0</v>
      </c>
      <c r="C9" s="815">
        <f>C3*$C$7*1000000</f>
        <v>0</v>
      </c>
      <c r="D9" s="815">
        <f t="shared" ref="D9:J10" si="1">(D3*$C$7*1000000)/1000</f>
        <v>18720</v>
      </c>
      <c r="E9" s="815">
        <f t="shared" si="1"/>
        <v>39959.999999999993</v>
      </c>
      <c r="F9" s="815">
        <f t="shared" si="1"/>
        <v>61199.999999999993</v>
      </c>
      <c r="G9" s="815">
        <f t="shared" si="1"/>
        <v>101751.30462934884</v>
      </c>
      <c r="H9" s="815">
        <f t="shared" si="1"/>
        <v>142302.60925869769</v>
      </c>
      <c r="I9" s="815">
        <f t="shared" si="1"/>
        <v>182853.91388804658</v>
      </c>
      <c r="J9" s="816">
        <f t="shared" si="1"/>
        <v>223405.21851739538</v>
      </c>
      <c r="M9" s="1153"/>
      <c r="N9" s="1155" t="s">
        <v>296</v>
      </c>
      <c r="O9" s="1155" t="s">
        <v>297</v>
      </c>
      <c r="P9" s="1155" t="s">
        <v>298</v>
      </c>
      <c r="Q9" s="1155" t="s">
        <v>299</v>
      </c>
      <c r="R9" s="1155" t="s">
        <v>300</v>
      </c>
    </row>
    <row r="10" spans="1:18" ht="16.5" thickBot="1">
      <c r="A10" s="365" t="s">
        <v>166</v>
      </c>
      <c r="B10" s="817">
        <f>B4*$C$7*1000000</f>
        <v>0</v>
      </c>
      <c r="C10" s="817">
        <f>C4*$C$7*1000000</f>
        <v>0</v>
      </c>
      <c r="D10" s="817">
        <f t="shared" si="1"/>
        <v>34421.274221411193</v>
      </c>
      <c r="E10" s="817">
        <f t="shared" si="1"/>
        <v>108382.50656135577</v>
      </c>
      <c r="F10" s="817">
        <f t="shared" si="1"/>
        <v>182343.73890130033</v>
      </c>
      <c r="G10" s="817">
        <f t="shared" si="1"/>
        <v>271681.18975507043</v>
      </c>
      <c r="H10" s="817">
        <f t="shared" si="1"/>
        <v>361018.64060884045</v>
      </c>
      <c r="I10" s="817">
        <f t="shared" si="1"/>
        <v>450356.09146261052</v>
      </c>
      <c r="J10" s="818">
        <f t="shared" si="1"/>
        <v>539693.54231638054</v>
      </c>
      <c r="M10" s="1154"/>
      <c r="N10" s="1156"/>
      <c r="O10" s="1156"/>
      <c r="P10" s="1156"/>
      <c r="Q10" s="1156"/>
      <c r="R10" s="1156"/>
    </row>
    <row r="11" spans="1:18">
      <c r="M11" s="1143" t="s">
        <v>301</v>
      </c>
      <c r="N11" s="1143" t="s">
        <v>302</v>
      </c>
      <c r="O11" s="1143" t="s">
        <v>303</v>
      </c>
      <c r="P11" s="1143" t="s">
        <v>304</v>
      </c>
      <c r="Q11" s="1143" t="s">
        <v>305</v>
      </c>
      <c r="R11" s="1143" t="s">
        <v>306</v>
      </c>
    </row>
    <row r="12" spans="1:18">
      <c r="M12" s="1144"/>
      <c r="N12" s="1144"/>
      <c r="O12" s="1144"/>
      <c r="P12" s="1144"/>
      <c r="Q12" s="1144"/>
      <c r="R12" s="1144"/>
    </row>
    <row r="13" spans="1:18" ht="29.1" customHeight="1">
      <c r="M13" s="1143" t="s">
        <v>307</v>
      </c>
      <c r="N13" s="1143">
        <v>940</v>
      </c>
      <c r="O13" s="1143">
        <v>142.167</v>
      </c>
      <c r="P13" s="1143">
        <v>44.258000000000003</v>
      </c>
      <c r="Q13" s="1143">
        <v>21.239000000000001</v>
      </c>
      <c r="R13" s="1143">
        <v>16.780999999999999</v>
      </c>
    </row>
    <row r="14" spans="1:18">
      <c r="M14" s="1144"/>
      <c r="N14" s="1144"/>
      <c r="O14" s="1144"/>
      <c r="P14" s="1144"/>
      <c r="Q14" s="1144"/>
      <c r="R14" s="1144"/>
    </row>
    <row r="15" spans="1:18" ht="29.1" customHeight="1">
      <c r="M15" s="1143" t="s">
        <v>308</v>
      </c>
      <c r="N15" s="1151">
        <v>0.09</v>
      </c>
      <c r="O15" s="1151">
        <v>0.09</v>
      </c>
      <c r="P15" s="1151">
        <v>0.09</v>
      </c>
      <c r="Q15" s="1151">
        <v>0.09</v>
      </c>
      <c r="R15" s="1151">
        <v>0.09</v>
      </c>
    </row>
    <row r="16" spans="1:18">
      <c r="M16" s="1144"/>
      <c r="N16" s="1152"/>
      <c r="O16" s="1152"/>
      <c r="P16" s="1152"/>
      <c r="Q16" s="1152"/>
      <c r="R16" s="1152"/>
    </row>
    <row r="17" spans="13:18">
      <c r="M17" s="1143" t="s">
        <v>309</v>
      </c>
      <c r="N17" s="1145" t="s">
        <v>310</v>
      </c>
      <c r="O17" s="1146"/>
      <c r="P17" s="1146"/>
      <c r="Q17" s="1146"/>
      <c r="R17" s="1147"/>
    </row>
    <row r="18" spans="13:18">
      <c r="M18" s="1144"/>
      <c r="N18" s="1148"/>
      <c r="O18" s="1149"/>
      <c r="P18" s="1149"/>
      <c r="Q18" s="1149"/>
      <c r="R18" s="1150"/>
    </row>
    <row r="19" spans="13:18" ht="18" customHeight="1">
      <c r="M19" s="1143" t="s">
        <v>311</v>
      </c>
      <c r="N19" s="1143">
        <v>0.03</v>
      </c>
      <c r="O19" s="1143">
        <v>0.1</v>
      </c>
      <c r="P19" s="1143">
        <v>0.12</v>
      </c>
      <c r="Q19" s="1143">
        <v>0.02</v>
      </c>
      <c r="R19" s="1143">
        <v>7.0000000000000007E-2</v>
      </c>
    </row>
    <row r="20" spans="13:18">
      <c r="M20" s="1144"/>
      <c r="N20" s="1144"/>
      <c r="O20" s="1144"/>
      <c r="P20" s="1144"/>
      <c r="Q20" s="1144"/>
      <c r="R20" s="1144"/>
    </row>
  </sheetData>
  <mergeCells count="32">
    <mergeCell ref="R11:R12"/>
    <mergeCell ref="M9:M10"/>
    <mergeCell ref="N9:N10"/>
    <mergeCell ref="O9:O10"/>
    <mergeCell ref="P9:P10"/>
    <mergeCell ref="Q9:Q10"/>
    <mergeCell ref="R9:R10"/>
    <mergeCell ref="M11:M12"/>
    <mergeCell ref="N11:N12"/>
    <mergeCell ref="O11:O12"/>
    <mergeCell ref="P11:P12"/>
    <mergeCell ref="Q11:Q12"/>
    <mergeCell ref="R15:R16"/>
    <mergeCell ref="M13:M14"/>
    <mergeCell ref="N13:N14"/>
    <mergeCell ref="O13:O14"/>
    <mergeCell ref="P13:P14"/>
    <mergeCell ref="Q13:Q14"/>
    <mergeCell ref="R13:R14"/>
    <mergeCell ref="M15:M16"/>
    <mergeCell ref="N15:N16"/>
    <mergeCell ref="O15:O16"/>
    <mergeCell ref="P15:P16"/>
    <mergeCell ref="Q15:Q16"/>
    <mergeCell ref="M17:M18"/>
    <mergeCell ref="N17:R18"/>
    <mergeCell ref="M19:M20"/>
    <mergeCell ref="N19:N20"/>
    <mergeCell ref="O19:O20"/>
    <mergeCell ref="P19:P20"/>
    <mergeCell ref="Q19:Q20"/>
    <mergeCell ref="R19:R20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60"/>
  <sheetViews>
    <sheetView topLeftCell="C1" workbookViewId="0">
      <selection activeCell="S24" sqref="S24"/>
    </sheetView>
  </sheetViews>
  <sheetFormatPr defaultColWidth="8.85546875" defaultRowHeight="12.75"/>
  <cols>
    <col min="2" max="3" width="7.42578125" customWidth="1"/>
    <col min="4" max="4" width="7.7109375" customWidth="1"/>
    <col min="5" max="5" width="8.28515625" customWidth="1"/>
    <col min="6" max="6" width="7.7109375" customWidth="1"/>
    <col min="7" max="7" width="8.42578125" customWidth="1"/>
    <col min="8" max="8" width="7.85546875" customWidth="1"/>
    <col min="9" max="9" width="8.28515625" customWidth="1"/>
    <col min="11" max="11" width="10.7109375" customWidth="1"/>
    <col min="12" max="12" width="17" customWidth="1"/>
    <col min="13" max="13" width="9.28515625" style="890" bestFit="1" customWidth="1"/>
    <col min="14" max="14" width="11.28515625" customWidth="1"/>
    <col min="15" max="15" width="13.85546875" bestFit="1" customWidth="1"/>
    <col min="16" max="16" width="9.42578125" bestFit="1" customWidth="1"/>
    <col min="17" max="18" width="9.7109375" bestFit="1" customWidth="1"/>
    <col min="19" max="19" width="9.42578125" bestFit="1" customWidth="1"/>
    <col min="20" max="20" width="10.42578125" bestFit="1" customWidth="1"/>
  </cols>
  <sheetData>
    <row r="1" spans="1:21" ht="13.5" thickBot="1">
      <c r="K1" s="1" t="s">
        <v>0</v>
      </c>
      <c r="L1" s="1"/>
      <c r="M1" s="1107"/>
    </row>
    <row r="2" spans="1:21" ht="18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4"/>
      <c r="K2" s="5" t="s">
        <v>2</v>
      </c>
      <c r="L2" s="6" t="s">
        <v>3</v>
      </c>
      <c r="M2" s="1108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7"/>
    </row>
    <row r="3" spans="1:21">
      <c r="A3" s="8" t="str">
        <f>Reference_name</f>
        <v>BAU20</v>
      </c>
      <c r="B3" s="9"/>
      <c r="C3" s="9" t="s">
        <v>11</v>
      </c>
      <c r="D3" s="9" t="s">
        <v>12</v>
      </c>
      <c r="E3" s="9" t="s">
        <v>13</v>
      </c>
      <c r="F3" s="9" t="s">
        <v>7</v>
      </c>
      <c r="G3" s="9" t="s">
        <v>14</v>
      </c>
      <c r="H3" s="9" t="s">
        <v>15</v>
      </c>
      <c r="I3" s="9" t="s">
        <v>16</v>
      </c>
      <c r="J3" s="10" t="s">
        <v>17</v>
      </c>
      <c r="K3" s="11"/>
      <c r="L3" s="12"/>
      <c r="M3" s="1109" t="s">
        <v>11</v>
      </c>
      <c r="N3" s="13" t="s">
        <v>12</v>
      </c>
      <c r="O3" s="13" t="s">
        <v>13</v>
      </c>
      <c r="P3" s="13" t="s">
        <v>7</v>
      </c>
      <c r="Q3" s="13" t="s">
        <v>18</v>
      </c>
      <c r="R3" s="13" t="s">
        <v>15</v>
      </c>
      <c r="S3" s="13" t="s">
        <v>16</v>
      </c>
      <c r="T3" s="14" t="s">
        <v>19</v>
      </c>
      <c r="U3" s="54"/>
    </row>
    <row r="4" spans="1:21">
      <c r="A4" s="15" t="s">
        <v>20</v>
      </c>
      <c r="B4" s="16" t="s">
        <v>21</v>
      </c>
      <c r="C4" s="16" t="s">
        <v>22</v>
      </c>
      <c r="D4" s="16" t="s">
        <v>22</v>
      </c>
      <c r="E4" s="16" t="s">
        <v>22</v>
      </c>
      <c r="F4" s="16" t="s">
        <v>22</v>
      </c>
      <c r="G4" s="16" t="s">
        <v>22</v>
      </c>
      <c r="H4" s="16" t="s">
        <v>22</v>
      </c>
      <c r="I4" s="16" t="s">
        <v>22</v>
      </c>
      <c r="J4" s="17" t="s">
        <v>22</v>
      </c>
      <c r="K4" s="18" t="s">
        <v>23</v>
      </c>
      <c r="L4" s="13" t="s">
        <v>24</v>
      </c>
      <c r="M4" s="1110">
        <f>C9*TJ_kytusehinnad!$H$13/1000</f>
        <v>6207.0889596344896</v>
      </c>
      <c r="N4" s="19">
        <f>D9*[9]TJ_kytusehinnad!$H$8/1000</f>
        <v>294104.5818013447</v>
      </c>
      <c r="O4" s="19">
        <f>E9*[9]TJ_kytusehinnad!$H$7/1000</f>
        <v>123187.96571385354</v>
      </c>
      <c r="P4" s="19">
        <f>F9*[9]TJ_kytusehinnad!$H$12/1000</f>
        <v>2766.313750612544</v>
      </c>
      <c r="Q4" s="19">
        <f>G9*[9]TJ_kytusehinnad!$H$10/1000</f>
        <v>25273.938307765999</v>
      </c>
      <c r="R4" s="19">
        <f>H9*[9]TJ_kytusehinnad!$H$9/1000</f>
        <v>26102.961465838391</v>
      </c>
      <c r="S4" s="19">
        <f>I9*[9]TJ_kytusehinnad!$H$11/1000</f>
        <v>0</v>
      </c>
      <c r="T4" s="20">
        <f>SUM(M4:S4)</f>
        <v>477642.84999904962</v>
      </c>
    </row>
    <row r="5" spans="1:21">
      <c r="A5" s="21" t="s">
        <v>25</v>
      </c>
      <c r="B5" s="22">
        <f>[4]TransportB_EE!C56</f>
        <v>22699.089477547212</v>
      </c>
      <c r="C5" s="23">
        <f>[4]TransportB_EE!D56</f>
        <v>0</v>
      </c>
      <c r="D5" s="23">
        <f>[4]TransportB_EE!E56</f>
        <v>0.66</v>
      </c>
      <c r="E5" s="23">
        <f>[4]TransportB_EE!F56</f>
        <v>0.23499999999999999</v>
      </c>
      <c r="F5" s="24">
        <f>[4]TransportB_EE!G56</f>
        <v>5.0000000000000001E-3</v>
      </c>
      <c r="G5" s="23">
        <f>[4]TransportB_EE!H56</f>
        <v>0.05</v>
      </c>
      <c r="H5" s="23">
        <f>[4]TransportB_EE!J56</f>
        <v>0.05</v>
      </c>
      <c r="I5" s="24">
        <f>[4]TransportB_EE!L56</f>
        <v>0</v>
      </c>
      <c r="J5" s="25">
        <f>[4]TransportB_EE!M56</f>
        <v>1</v>
      </c>
      <c r="K5" s="11"/>
      <c r="L5" s="13" t="s">
        <v>26</v>
      </c>
      <c r="M5" s="1110">
        <f>C9*TJ_kytusehinnad!$H$24/1000</f>
        <v>258.01355852521021</v>
      </c>
      <c r="N5" s="19">
        <f>D9*[9]TJ_kytusehinnad!$H$18/1000</f>
        <v>175647.16811895327</v>
      </c>
      <c r="O5" s="19">
        <f>E9*[9]TJ_kytusehinnad!$H$17/1000</f>
        <v>78384.140514796309</v>
      </c>
      <c r="P5" s="19">
        <f>F9*[9]TJ_kytusehinnad!$H$23/1000</f>
        <v>785.62134099798436</v>
      </c>
      <c r="Q5" s="19">
        <f>G9*[9]TJ_kytusehinnad!$H$21/1000</f>
        <v>11077.297519563161</v>
      </c>
      <c r="R5" s="19">
        <f>H9*[9]TJ_kytusehinnad!$H$20/1000</f>
        <v>11118.67576237617</v>
      </c>
      <c r="S5" s="19">
        <f>I9*[9]TJ_kytusehinnad!$H$22/1000</f>
        <v>0</v>
      </c>
      <c r="T5" s="20">
        <f t="shared" ref="T5:T20" si="0">SUM(M5:S5)</f>
        <v>277270.91681521211</v>
      </c>
    </row>
    <row r="6" spans="1:21">
      <c r="A6" s="26" t="s">
        <v>27</v>
      </c>
      <c r="B6" s="22">
        <f>[4]TransportB_EE!C57</f>
        <v>1183.1317892377026</v>
      </c>
      <c r="C6" s="27">
        <f>[4]TransportB_EE!D57</f>
        <v>0.01</v>
      </c>
      <c r="D6" s="27">
        <f>[4]TransportB_EE!E57</f>
        <v>0</v>
      </c>
      <c r="E6" s="23">
        <f>[4]TransportB_EE!F57</f>
        <v>0.92500000000000004</v>
      </c>
      <c r="F6" s="27">
        <f>[4]TransportB_EE!G57</f>
        <v>3.5000000000000003E-2</v>
      </c>
      <c r="G6" s="27">
        <f>[4]TransportB_EE!H57</f>
        <v>0</v>
      </c>
      <c r="H6" s="27">
        <f>[4]TransportB_EE!J57</f>
        <v>0.03</v>
      </c>
      <c r="I6" s="27">
        <f>[4]TransportB_EE!L57</f>
        <v>0</v>
      </c>
      <c r="J6" s="25">
        <f>[4]TransportB_EE!M57</f>
        <v>1</v>
      </c>
      <c r="K6" s="11"/>
      <c r="L6" s="13" t="s">
        <v>28</v>
      </c>
      <c r="M6" s="1111">
        <f t="shared" ref="M6:S6" si="1">SUM(M4:M5,M7)*0.75*0.2</f>
        <v>969.765377723955</v>
      </c>
      <c r="N6" s="19">
        <f t="shared" si="1"/>
        <v>74874.331215064871</v>
      </c>
      <c r="O6" s="19">
        <f t="shared" si="1"/>
        <v>32083.635420005281</v>
      </c>
      <c r="P6" s="19">
        <f t="shared" si="1"/>
        <v>574.28497000076754</v>
      </c>
      <c r="Q6" s="19">
        <f t="shared" si="1"/>
        <v>5831.7944487158647</v>
      </c>
      <c r="R6" s="19">
        <f t="shared" si="1"/>
        <v>5974.7900062197605</v>
      </c>
      <c r="S6" s="19">
        <f t="shared" si="1"/>
        <v>0</v>
      </c>
      <c r="T6" s="20">
        <f t="shared" si="0"/>
        <v>120308.60143773051</v>
      </c>
    </row>
    <row r="7" spans="1:21">
      <c r="A7" s="26" t="s">
        <v>29</v>
      </c>
      <c r="B7" s="22">
        <f>[4]TransportB_EE!C58</f>
        <v>414.96220377527123</v>
      </c>
      <c r="C7" s="27">
        <f>[4]TransportB_EE!D58</f>
        <v>0.7</v>
      </c>
      <c r="D7" s="27">
        <f>[4]TransportB_EE!E58</f>
        <v>0</v>
      </c>
      <c r="E7" s="23">
        <f>[4]TransportB_EE!F58</f>
        <v>0.25</v>
      </c>
      <c r="F7" s="27">
        <f>[4]TransportB_EE!G58</f>
        <v>0</v>
      </c>
      <c r="G7" s="27">
        <f>[4]TransportB_EE!H58</f>
        <v>0</v>
      </c>
      <c r="H7" s="27">
        <f>[4]TransportB_EE!J58</f>
        <v>0.05</v>
      </c>
      <c r="I7" s="27">
        <f>[4]TransportB_EE!L58</f>
        <v>0</v>
      </c>
      <c r="J7" s="25">
        <f>[4]TransportB_EE!M58</f>
        <v>1</v>
      </c>
      <c r="K7" s="11"/>
      <c r="L7" s="13" t="s">
        <v>30</v>
      </c>
      <c r="M7" s="1111"/>
      <c r="N7" s="19">
        <f t="shared" ref="N7:S7" si="2">N4*0.1</f>
        <v>29410.458180134472</v>
      </c>
      <c r="O7" s="19">
        <f t="shared" si="2"/>
        <v>12318.796571385355</v>
      </c>
      <c r="P7" s="19">
        <f t="shared" si="2"/>
        <v>276.6313750612544</v>
      </c>
      <c r="Q7" s="19">
        <f t="shared" si="2"/>
        <v>2527.3938307766002</v>
      </c>
      <c r="R7" s="19">
        <f t="shared" si="2"/>
        <v>2610.2961465838393</v>
      </c>
      <c r="S7" s="19">
        <f t="shared" si="2"/>
        <v>0</v>
      </c>
      <c r="T7" s="20">
        <f t="shared" si="0"/>
        <v>47143.576103941516</v>
      </c>
    </row>
    <row r="8" spans="1:21">
      <c r="A8" s="28" t="s">
        <v>31</v>
      </c>
      <c r="B8" s="22">
        <f>[4]TransportB_EE!C59</f>
        <v>326.68338960135617</v>
      </c>
      <c r="C8" s="27">
        <f>[4]TransportB_EE!D59</f>
        <v>0</v>
      </c>
      <c r="D8" s="29">
        <f>[4]TransportB_EE!E59</f>
        <v>0</v>
      </c>
      <c r="E8" s="23">
        <f>[4]TransportB_EE!F59</f>
        <v>1</v>
      </c>
      <c r="F8" s="27">
        <f>[4]TransportB_EE!G59</f>
        <v>0</v>
      </c>
      <c r="G8" s="27">
        <f>[4]TransportB_EE!H59</f>
        <v>0</v>
      </c>
      <c r="H8" s="27">
        <f>[4]TransportB_EE!J59</f>
        <v>0</v>
      </c>
      <c r="I8" s="27">
        <f>[4]TransportB_EE!L59</f>
        <v>0</v>
      </c>
      <c r="J8" s="25">
        <f>[4]TransportB_EE!M59</f>
        <v>1</v>
      </c>
      <c r="K8" s="11"/>
      <c r="L8" s="13" t="s">
        <v>32</v>
      </c>
      <c r="M8" s="19">
        <f t="shared" ref="M8:S8" si="3">SUM(M4:M7)</f>
        <v>7434.8678958836545</v>
      </c>
      <c r="N8" s="19">
        <f t="shared" si="3"/>
        <v>574036.53931549727</v>
      </c>
      <c r="O8" s="19">
        <f t="shared" si="3"/>
        <v>245974.53822004047</v>
      </c>
      <c r="P8" s="19">
        <f t="shared" si="3"/>
        <v>4402.8514366725503</v>
      </c>
      <c r="Q8" s="19">
        <f t="shared" si="3"/>
        <v>44710.424106821629</v>
      </c>
      <c r="R8" s="19">
        <f t="shared" si="3"/>
        <v>45806.723381018157</v>
      </c>
      <c r="S8" s="19">
        <f t="shared" si="3"/>
        <v>0</v>
      </c>
      <c r="T8" s="20">
        <f t="shared" si="0"/>
        <v>922365.94435593369</v>
      </c>
    </row>
    <row r="9" spans="1:21" ht="13.5" thickBot="1">
      <c r="A9" s="31" t="s">
        <v>17</v>
      </c>
      <c r="B9" s="32">
        <f>[4]TransportB_EE!C60</f>
        <v>24623.866860161539</v>
      </c>
      <c r="C9" s="32">
        <f>[4]TransportB_EE!D60</f>
        <v>207.80731195651595</v>
      </c>
      <c r="D9" s="32">
        <f>[4]TransportB_EE!E60</f>
        <v>15231.284089399347</v>
      </c>
      <c r="E9" s="32">
        <f>[4]TransportB_EE!F60</f>
        <v>6715.5706404040693</v>
      </c>
      <c r="F9" s="32">
        <f>[4]TransportB_EE!G60</f>
        <v>157.12426819959688</v>
      </c>
      <c r="G9" s="32">
        <f>[4]TransportB_EE!H60</f>
        <v>1153.8851582878292</v>
      </c>
      <c r="H9" s="32">
        <f>[4]TransportB_EE!J60</f>
        <v>1158.1953919141843</v>
      </c>
      <c r="I9" s="32">
        <f>[4]TransportB_EE!L60</f>
        <v>0</v>
      </c>
      <c r="J9" s="33">
        <f>[4]TransportB_EE!M60</f>
        <v>24623.866860161546</v>
      </c>
      <c r="K9" s="11"/>
      <c r="L9" s="13"/>
      <c r="M9" s="1111"/>
      <c r="N9" s="19"/>
      <c r="O9" s="19"/>
      <c r="P9" s="19"/>
      <c r="Q9" s="19"/>
      <c r="R9" s="19"/>
      <c r="S9" s="19"/>
      <c r="T9" s="34"/>
    </row>
    <row r="10" spans="1:21">
      <c r="A10" s="35"/>
      <c r="B10" s="36">
        <f>[4]TransportB_EE!C61</f>
        <v>0</v>
      </c>
      <c r="C10" s="9" t="str">
        <f>[4]TransportB_EE!D61</f>
        <v>Electricity</v>
      </c>
      <c r="D10" s="9" t="str">
        <f>[4]TransportB_EE!E61</f>
        <v>Gasoline</v>
      </c>
      <c r="E10" s="9" t="str">
        <f>[4]TransportB_EE!F61</f>
        <v>Diesel</v>
      </c>
      <c r="F10" s="9" t="str">
        <f>[4]TransportB_EE!G61</f>
        <v>Natural gas</v>
      </c>
      <c r="G10" s="9" t="str">
        <f>[4]TransportB_EE!H61</f>
        <v>Ethanol</v>
      </c>
      <c r="H10" s="9" t="str">
        <f>[4]TransportB_EE!J61</f>
        <v>Biodiesel</v>
      </c>
      <c r="I10" s="9" t="str">
        <f>[4]TransportB_EE!L61</f>
        <v>Biogas</v>
      </c>
      <c r="J10" s="37" t="str">
        <f>[4]TransportB_EE!M61</f>
        <v>Total</v>
      </c>
      <c r="K10" s="18" t="s">
        <v>33</v>
      </c>
      <c r="L10" s="13" t="s">
        <v>24</v>
      </c>
      <c r="M10" s="1111"/>
      <c r="N10" s="19">
        <f>D16*[9]TJ_kytusehinnad!$H$8/1000</f>
        <v>0</v>
      </c>
      <c r="O10" s="19">
        <f>E16*[9]TJ_kytusehinnad!$H$7/1000</f>
        <v>267862.38927091192</v>
      </c>
      <c r="P10" s="19">
        <f>F16*[9]TJ_kytusehinnad!$H$12/1000</f>
        <v>4262.1314658099664</v>
      </c>
      <c r="Q10" s="19">
        <f>G16*[9]TJ_kytusehinnad!$H$10/1000</f>
        <v>0</v>
      </c>
      <c r="R10" s="19">
        <f>H16*[9]TJ_kytusehinnad!$H$9/1000</f>
        <v>26453.47110451858</v>
      </c>
      <c r="S10" s="19">
        <f>I16*[9]TJ_kytusehinnad!$H$11/1000</f>
        <v>0</v>
      </c>
      <c r="T10" s="20">
        <f t="shared" si="0"/>
        <v>298577.99184124044</v>
      </c>
    </row>
    <row r="11" spans="1:21">
      <c r="A11" s="38" t="s">
        <v>34</v>
      </c>
      <c r="B11" s="16" t="str">
        <f>[4]TransportB_EE!C62</f>
        <v>TJ</v>
      </c>
      <c r="C11" s="16" t="str">
        <f>[4]TransportB_EE!D62</f>
        <v>%</v>
      </c>
      <c r="D11" s="16" t="str">
        <f>[4]TransportB_EE!E62</f>
        <v>%</v>
      </c>
      <c r="E11" s="16" t="str">
        <f>[4]TransportB_EE!F62</f>
        <v>%</v>
      </c>
      <c r="F11" s="16" t="str">
        <f>[4]TransportB_EE!G62</f>
        <v>%</v>
      </c>
      <c r="G11" s="16" t="str">
        <f>[4]TransportB_EE!H62</f>
        <v>%</v>
      </c>
      <c r="H11" s="16" t="str">
        <f>[4]TransportB_EE!J62</f>
        <v>%</v>
      </c>
      <c r="I11" s="16" t="str">
        <f>[4]TransportB_EE!L62</f>
        <v>%</v>
      </c>
      <c r="J11" s="17" t="str">
        <f>[4]TransportB_EE!M62</f>
        <v>%</v>
      </c>
      <c r="K11" s="11"/>
      <c r="L11" s="13" t="s">
        <v>26</v>
      </c>
      <c r="M11" s="1111"/>
      <c r="N11" s="19">
        <f>D16*[9]TJ_kytusehinnad!$H$18/1000</f>
        <v>0</v>
      </c>
      <c r="O11" s="19">
        <f>E16*[9]TJ_kytusehinnad!$H$17/1000</f>
        <v>170440.05100312349</v>
      </c>
      <c r="P11" s="19">
        <f>F16*[9]TJ_kytusehinnad!$H$23/1000</f>
        <v>1210.4272109184617</v>
      </c>
      <c r="Q11" s="19">
        <f>G16*[9]TJ_kytusehinnad!$H$21/1000</f>
        <v>0</v>
      </c>
      <c r="R11" s="19">
        <f>H16*[9]TJ_kytusehinnad!$H$20/1000</f>
        <v>11267.976945277313</v>
      </c>
      <c r="S11" s="19">
        <f>I16*[9]TJ_kytusehinnad!$H$22/1000</f>
        <v>0</v>
      </c>
      <c r="T11" s="20">
        <f t="shared" si="0"/>
        <v>182918.45515931924</v>
      </c>
    </row>
    <row r="12" spans="1:21">
      <c r="A12" s="26" t="s">
        <v>35</v>
      </c>
      <c r="B12" s="22">
        <f>[4]TransportB_EE!C63</f>
        <v>14693.85274830108</v>
      </c>
      <c r="C12" s="23">
        <f>[4]TransportB_EE!D63</f>
        <v>0</v>
      </c>
      <c r="D12" s="23">
        <f>[4]TransportB_EE!E63</f>
        <v>0</v>
      </c>
      <c r="E12" s="23">
        <f>[4]TransportB_EE!F63</f>
        <v>0.90500000000000003</v>
      </c>
      <c r="F12" s="24">
        <f>[4]TransportB_EE!G63</f>
        <v>1.4999999999999999E-2</v>
      </c>
      <c r="G12" s="23">
        <f>[4]TransportB_EE!H63</f>
        <v>0</v>
      </c>
      <c r="H12" s="23">
        <f>[4]TransportB_EE!J63</f>
        <v>0.08</v>
      </c>
      <c r="I12" s="24">
        <f>[4]TransportB_EE!L63</f>
        <v>0</v>
      </c>
      <c r="J12" s="25">
        <f>[4]TransportB_EE!M63</f>
        <v>1</v>
      </c>
      <c r="K12" s="11"/>
      <c r="L12" s="13" t="s">
        <v>28</v>
      </c>
      <c r="M12" s="1111"/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0">
        <f t="shared" si="0"/>
        <v>0</v>
      </c>
    </row>
    <row r="13" spans="1:21">
      <c r="A13" s="26" t="s">
        <v>36</v>
      </c>
      <c r="B13" s="22">
        <f>[4]TransportB_EE!C64</f>
        <v>1324.4521055021412</v>
      </c>
      <c r="C13" s="27">
        <f>[4]TransportB_EE!D64</f>
        <v>0</v>
      </c>
      <c r="D13" s="27">
        <f>[4]TransportB_EE!E64</f>
        <v>0</v>
      </c>
      <c r="E13" s="23">
        <f>[4]TransportB_EE!F64</f>
        <v>1</v>
      </c>
      <c r="F13" s="27">
        <f>[4]TransportB_EE!G64</f>
        <v>0</v>
      </c>
      <c r="G13" s="27">
        <f>[4]TransportB_EE!H64</f>
        <v>0</v>
      </c>
      <c r="H13" s="27">
        <f>[4]TransportB_EE!J64</f>
        <v>0</v>
      </c>
      <c r="I13" s="27">
        <f>[4]TransportB_EE!L64</f>
        <v>0</v>
      </c>
      <c r="J13" s="25">
        <f>[4]TransportB_EE!M64</f>
        <v>1</v>
      </c>
      <c r="K13" s="11"/>
      <c r="L13" s="13" t="s">
        <v>30</v>
      </c>
      <c r="M13" s="1111"/>
      <c r="N13" s="19">
        <f t="shared" ref="N13:S13" si="4">N10*0.1</f>
        <v>0</v>
      </c>
      <c r="O13" s="19">
        <f t="shared" si="4"/>
        <v>26786.238927091195</v>
      </c>
      <c r="P13" s="19">
        <f t="shared" si="4"/>
        <v>426.21314658099664</v>
      </c>
      <c r="Q13" s="19">
        <f t="shared" si="4"/>
        <v>0</v>
      </c>
      <c r="R13" s="19">
        <f t="shared" si="4"/>
        <v>2645.347110451858</v>
      </c>
      <c r="S13" s="19">
        <f t="shared" si="4"/>
        <v>0</v>
      </c>
      <c r="T13" s="20">
        <f t="shared" si="0"/>
        <v>29857.799184124051</v>
      </c>
    </row>
    <row r="14" spans="1:21" ht="13.5" thickBot="1">
      <c r="A14" s="26" t="s">
        <v>37</v>
      </c>
      <c r="B14" s="22">
        <f>[4]TransportB_EE!C65</f>
        <v>0</v>
      </c>
      <c r="C14" s="27">
        <f>[4]TransportB_EE!D65</f>
        <v>0</v>
      </c>
      <c r="D14" s="27">
        <f>[4]TransportB_EE!E65</f>
        <v>0</v>
      </c>
      <c r="E14" s="23">
        <f>[4]TransportB_EE!F65</f>
        <v>1</v>
      </c>
      <c r="F14" s="27">
        <f>[4]TransportB_EE!G65</f>
        <v>0</v>
      </c>
      <c r="G14" s="27">
        <f>[4]TransportB_EE!H65</f>
        <v>0</v>
      </c>
      <c r="H14" s="27">
        <f>[4]TransportB_EE!J65</f>
        <v>0</v>
      </c>
      <c r="I14" s="27">
        <f>[4]TransportB_EE!L65</f>
        <v>0</v>
      </c>
      <c r="J14" s="25">
        <f>[4]TransportB_EE!M65</f>
        <v>1</v>
      </c>
      <c r="K14" s="11"/>
      <c r="L14" s="13" t="s">
        <v>32</v>
      </c>
      <c r="M14" s="1111">
        <f>C16*[9]TJ_kytusehinnad!$H$13/1000</f>
        <v>0</v>
      </c>
      <c r="N14" s="19">
        <f t="shared" ref="N14:S14" si="5">SUM(N10:N13)</f>
        <v>0</v>
      </c>
      <c r="O14" s="19">
        <f t="shared" si="5"/>
        <v>465088.67920112662</v>
      </c>
      <c r="P14" s="19">
        <f t="shared" si="5"/>
        <v>5898.7718233094238</v>
      </c>
      <c r="Q14" s="19">
        <f t="shared" si="5"/>
        <v>0</v>
      </c>
      <c r="R14" s="19">
        <f t="shared" si="5"/>
        <v>40366.795160247755</v>
      </c>
      <c r="S14" s="19">
        <f t="shared" si="5"/>
        <v>0</v>
      </c>
      <c r="T14" s="20">
        <f t="shared" si="0"/>
        <v>511354.24618468381</v>
      </c>
    </row>
    <row r="15" spans="1:21">
      <c r="A15" s="26" t="s">
        <v>38</v>
      </c>
      <c r="B15" s="22">
        <f>[4]TransportB_EE!C66</f>
        <v>0</v>
      </c>
      <c r="C15" s="27">
        <f>[4]TransportB_EE!D66</f>
        <v>0</v>
      </c>
      <c r="D15" s="29">
        <f>[4]TransportB_EE!E66</f>
        <v>0</v>
      </c>
      <c r="E15" s="23">
        <f>[4]TransportB_EE!F66</f>
        <v>1</v>
      </c>
      <c r="F15" s="27">
        <f>[4]TransportB_EE!G66</f>
        <v>0</v>
      </c>
      <c r="G15" s="27">
        <f>[4]TransportB_EE!H66</f>
        <v>0</v>
      </c>
      <c r="H15" s="27">
        <f>[4]TransportB_EE!J66</f>
        <v>0</v>
      </c>
      <c r="I15" s="27">
        <f>[4]TransportB_EE!L66</f>
        <v>0</v>
      </c>
      <c r="J15" s="25">
        <f>[4]TransportB_EE!M66</f>
        <v>1</v>
      </c>
      <c r="K15" s="5" t="s">
        <v>19</v>
      </c>
      <c r="L15" s="6"/>
      <c r="M15" s="1112"/>
      <c r="N15" s="39"/>
      <c r="O15" s="39"/>
      <c r="P15" s="39"/>
      <c r="Q15" s="39"/>
      <c r="R15" s="39"/>
      <c r="S15" s="39"/>
      <c r="T15" s="40"/>
    </row>
    <row r="16" spans="1:21" ht="13.5" thickBot="1">
      <c r="A16" s="41" t="s">
        <v>17</v>
      </c>
      <c r="B16" s="32">
        <f>[4]TransportB_EE!C67</f>
        <v>16018.304853803222</v>
      </c>
      <c r="C16" s="32">
        <f>[4]TransportB_EE!D67</f>
        <v>0</v>
      </c>
      <c r="D16" s="32">
        <f>[4]TransportB_EE!E67</f>
        <v>0</v>
      </c>
      <c r="E16" s="32">
        <f>[4]TransportB_EE!F67</f>
        <v>14602.471813153143</v>
      </c>
      <c r="F16" s="32">
        <f>[4]TransportB_EE!G67</f>
        <v>242.08544218369232</v>
      </c>
      <c r="G16" s="32">
        <f>[4]TransportB_EE!H67</f>
        <v>0</v>
      </c>
      <c r="H16" s="32">
        <f>[4]TransportB_EE!J67</f>
        <v>1173.7475984663868</v>
      </c>
      <c r="I16" s="32">
        <f>[4]TransportB_EE!L67</f>
        <v>0</v>
      </c>
      <c r="J16" s="33">
        <f>[4]TransportB_EE!M67</f>
        <v>16018.304853803222</v>
      </c>
      <c r="K16" s="18" t="s">
        <v>39</v>
      </c>
      <c r="L16" s="13" t="s">
        <v>24</v>
      </c>
      <c r="M16" s="1111">
        <f>M4+M10</f>
        <v>6207.0889596344896</v>
      </c>
      <c r="N16" s="19">
        <f t="shared" ref="N16:S16" si="6">N4+N10</f>
        <v>294104.5818013447</v>
      </c>
      <c r="O16" s="19">
        <f t="shared" si="6"/>
        <v>391050.35498476546</v>
      </c>
      <c r="P16" s="19">
        <f t="shared" si="6"/>
        <v>7028.4452164225104</v>
      </c>
      <c r="Q16" s="19">
        <f t="shared" si="6"/>
        <v>25273.938307765999</v>
      </c>
      <c r="R16" s="19">
        <f t="shared" si="6"/>
        <v>52556.43257035697</v>
      </c>
      <c r="S16" s="19">
        <f t="shared" si="6"/>
        <v>0</v>
      </c>
      <c r="T16" s="20">
        <f t="shared" si="0"/>
        <v>776220.84184029012</v>
      </c>
    </row>
    <row r="17" spans="1:20">
      <c r="A17" s="26"/>
      <c r="B17" s="9">
        <f>[4]TransportB_EE!C68</f>
        <v>0</v>
      </c>
      <c r="C17" s="9" t="str">
        <f>[4]TransportB_EE!D68</f>
        <v>Electricity</v>
      </c>
      <c r="D17" s="9" t="str">
        <f>[4]TransportB_EE!E68</f>
        <v>Gasoline</v>
      </c>
      <c r="E17" s="9" t="str">
        <f>[4]TransportB_EE!F68</f>
        <v>Diesel</v>
      </c>
      <c r="F17" s="9" t="str">
        <f>[4]TransportB_EE!G68</f>
        <v>Natural gas</v>
      </c>
      <c r="G17" s="9" t="str">
        <f>[4]TransportB_EE!H68</f>
        <v>Ethanol</v>
      </c>
      <c r="H17" s="9" t="str">
        <f>[4]TransportB_EE!J68</f>
        <v>Biodiesel</v>
      </c>
      <c r="I17" s="9" t="str">
        <f>[4]TransportB_EE!L68</f>
        <v>Biogas</v>
      </c>
      <c r="J17" s="10" t="str">
        <f>[4]TransportB_EE!M68</f>
        <v>Total</v>
      </c>
      <c r="K17" s="11"/>
      <c r="L17" s="13" t="s">
        <v>26</v>
      </c>
      <c r="M17" s="1111">
        <f t="shared" ref="M17:S20" si="7">M5+M11</f>
        <v>258.01355852521021</v>
      </c>
      <c r="N17" s="19">
        <f t="shared" si="7"/>
        <v>175647.16811895327</v>
      </c>
      <c r="O17" s="19">
        <f t="shared" si="7"/>
        <v>248824.1915179198</v>
      </c>
      <c r="P17" s="19">
        <f t="shared" si="7"/>
        <v>1996.0485519164461</v>
      </c>
      <c r="Q17" s="19">
        <f t="shared" si="7"/>
        <v>11077.297519563161</v>
      </c>
      <c r="R17" s="19">
        <f t="shared" si="7"/>
        <v>22386.652707653484</v>
      </c>
      <c r="S17" s="19">
        <f t="shared" si="7"/>
        <v>0</v>
      </c>
      <c r="T17" s="20">
        <f t="shared" si="0"/>
        <v>460189.37197453133</v>
      </c>
    </row>
    <row r="18" spans="1:20">
      <c r="A18" s="42"/>
      <c r="B18" s="16" t="str">
        <f>[4]TransportB_EE!C69</f>
        <v>TJ</v>
      </c>
      <c r="C18" s="16" t="str">
        <f>[4]TransportB_EE!D69</f>
        <v>%</v>
      </c>
      <c r="D18" s="16" t="str">
        <f>[4]TransportB_EE!E69</f>
        <v>%</v>
      </c>
      <c r="E18" s="16" t="str">
        <f>[4]TransportB_EE!F69</f>
        <v>%</v>
      </c>
      <c r="F18" s="16" t="str">
        <f>[4]TransportB_EE!G69</f>
        <v>%</v>
      </c>
      <c r="G18" s="16" t="str">
        <f>[4]TransportB_EE!H69</f>
        <v>%</v>
      </c>
      <c r="H18" s="16" t="str">
        <f>[4]TransportB_EE!J69</f>
        <v>%</v>
      </c>
      <c r="I18" s="16">
        <f>[4]TransportB_EE!L69</f>
        <v>0</v>
      </c>
      <c r="J18" s="17" t="str">
        <f>[4]TransportB_EE!M69</f>
        <v>%</v>
      </c>
      <c r="K18" s="11"/>
      <c r="L18" s="13" t="s">
        <v>28</v>
      </c>
      <c r="M18" s="1111">
        <f t="shared" si="7"/>
        <v>969.765377723955</v>
      </c>
      <c r="N18" s="19">
        <f t="shared" si="7"/>
        <v>74874.331215064871</v>
      </c>
      <c r="O18" s="19">
        <f>O6+O12</f>
        <v>32083.635420005281</v>
      </c>
      <c r="P18" s="19">
        <f t="shared" si="7"/>
        <v>574.28497000076754</v>
      </c>
      <c r="Q18" s="19">
        <f t="shared" si="7"/>
        <v>5831.7944487158647</v>
      </c>
      <c r="R18" s="19">
        <f t="shared" si="7"/>
        <v>5974.7900062197605</v>
      </c>
      <c r="S18" s="19">
        <f t="shared" si="7"/>
        <v>0</v>
      </c>
      <c r="T18" s="20">
        <f t="shared" si="0"/>
        <v>120308.60143773051</v>
      </c>
    </row>
    <row r="19" spans="1:20">
      <c r="A19" s="1157" t="s">
        <v>40</v>
      </c>
      <c r="B19" s="130">
        <f>[4]TransportB_EE!C70</f>
        <v>40642.171713964759</v>
      </c>
      <c r="C19" s="131">
        <f>[4]TransportB_EE!D70</f>
        <v>7.4382063700398687E-3</v>
      </c>
      <c r="D19" s="131">
        <f>[4]TransportB_EE!E70</f>
        <v>0.36861708967273299</v>
      </c>
      <c r="E19" s="131">
        <f>[4]TransportB_EE!F70</f>
        <v>0.5285518664384552</v>
      </c>
      <c r="F19" s="131">
        <f>[4]TransportB_EE!G70</f>
        <v>9.2345668404971923E-3</v>
      </c>
      <c r="G19" s="132">
        <f>[4]TransportB_EE!H70</f>
        <v>2.7925537096419168E-2</v>
      </c>
      <c r="H19" s="132">
        <f>[4]TransportB_EE!J70</f>
        <v>5.8232733581855711E-2</v>
      </c>
      <c r="I19" s="132">
        <f>[4]TransportB_EE!L70</f>
        <v>0</v>
      </c>
      <c r="J19" s="131">
        <f>[4]TransportB_EE!M70</f>
        <v>1.0000000000000002</v>
      </c>
      <c r="K19" s="12"/>
      <c r="L19" s="13" t="s">
        <v>41</v>
      </c>
      <c r="M19" s="1111">
        <f t="shared" si="7"/>
        <v>0</v>
      </c>
      <c r="N19" s="19">
        <f t="shared" si="7"/>
        <v>29410.458180134472</v>
      </c>
      <c r="O19" s="19">
        <f t="shared" si="7"/>
        <v>39105.035498476551</v>
      </c>
      <c r="P19" s="19">
        <f t="shared" si="7"/>
        <v>702.84452164225104</v>
      </c>
      <c r="Q19" s="19">
        <f t="shared" si="7"/>
        <v>2527.3938307766002</v>
      </c>
      <c r="R19" s="19">
        <f t="shared" si="7"/>
        <v>5255.6432570356974</v>
      </c>
      <c r="S19" s="19">
        <f t="shared" si="7"/>
        <v>0</v>
      </c>
      <c r="T19" s="20">
        <f t="shared" si="0"/>
        <v>77001.375288065581</v>
      </c>
    </row>
    <row r="20" spans="1:20" ht="13.5" thickBot="1">
      <c r="A20" s="1157"/>
      <c r="B20" s="133">
        <f>[4]TransportB_EE!C71</f>
        <v>0</v>
      </c>
      <c r="C20" s="130">
        <f>[4]TransportB_EE!D71</f>
        <v>207.80731195651595</v>
      </c>
      <c r="D20" s="130">
        <f>[4]TransportB_EE!E71</f>
        <v>15231.284089399347</v>
      </c>
      <c r="E20" s="130">
        <f>[4]TransportB_EE!F71</f>
        <v>21318.042453557213</v>
      </c>
      <c r="F20" s="130">
        <f>[4]TransportB_EE!G71</f>
        <v>399.20971038328923</v>
      </c>
      <c r="G20" s="130">
        <f>[4]TransportB_EE!H71</f>
        <v>1153.8851582878292</v>
      </c>
      <c r="H20" s="130">
        <f>[4]TransportB_EE!J71</f>
        <v>2331.9429903805712</v>
      </c>
      <c r="I20" s="130">
        <f>[4]TransportB_EE!L71</f>
        <v>0</v>
      </c>
      <c r="J20" s="130">
        <f>[4]TransportB_EE!M71</f>
        <v>40642.171713964766</v>
      </c>
      <c r="K20" s="124"/>
      <c r="L20" s="51" t="s">
        <v>32</v>
      </c>
      <c r="M20" s="1113">
        <f t="shared" si="7"/>
        <v>7434.8678958836545</v>
      </c>
      <c r="N20" s="52">
        <f t="shared" si="7"/>
        <v>574036.53931549727</v>
      </c>
      <c r="O20" s="52">
        <f t="shared" si="7"/>
        <v>711063.21742116706</v>
      </c>
      <c r="P20" s="52">
        <f t="shared" si="7"/>
        <v>10301.623259981974</v>
      </c>
      <c r="Q20" s="52">
        <f t="shared" si="7"/>
        <v>44710.424106821629</v>
      </c>
      <c r="R20" s="52">
        <f t="shared" si="7"/>
        <v>86173.518541265919</v>
      </c>
      <c r="S20" s="52">
        <f t="shared" si="7"/>
        <v>0</v>
      </c>
      <c r="T20" s="53">
        <f t="shared" si="0"/>
        <v>1433720.1905406176</v>
      </c>
    </row>
    <row r="21" spans="1:20" ht="13.5" thickBot="1">
      <c r="M21" s="1114"/>
      <c r="N21" s="54"/>
      <c r="O21" s="54"/>
      <c r="P21" s="54"/>
      <c r="Q21" s="54"/>
      <c r="R21" s="54"/>
      <c r="S21" s="54"/>
      <c r="T21" s="54"/>
    </row>
    <row r="22" spans="1:20" ht="15" customHeight="1">
      <c r="A22" s="55"/>
      <c r="B22" s="3"/>
      <c r="C22" s="3"/>
      <c r="D22" s="3"/>
      <c r="E22" s="3"/>
      <c r="F22" s="3"/>
      <c r="G22" s="3"/>
      <c r="H22" s="3"/>
      <c r="I22" s="3"/>
      <c r="J22" s="4"/>
      <c r="K22" s="5" t="s">
        <v>42</v>
      </c>
      <c r="L22" s="56"/>
      <c r="M22" s="1112"/>
      <c r="N22" s="39"/>
      <c r="O22" s="39"/>
      <c r="P22" s="39"/>
      <c r="Q22" s="39"/>
      <c r="R22" s="39"/>
      <c r="S22" s="39"/>
      <c r="T22" s="40"/>
    </row>
    <row r="23" spans="1:20" ht="14.25" customHeight="1">
      <c r="A23" s="8" t="s">
        <v>43</v>
      </c>
      <c r="B23" s="9"/>
      <c r="C23" s="9" t="s">
        <v>11</v>
      </c>
      <c r="D23" s="9" t="s">
        <v>12</v>
      </c>
      <c r="E23" s="9" t="s">
        <v>13</v>
      </c>
      <c r="F23" s="9" t="s">
        <v>7</v>
      </c>
      <c r="G23" s="9" t="s">
        <v>14</v>
      </c>
      <c r="H23" s="9" t="s">
        <v>15</v>
      </c>
      <c r="I23" s="9" t="s">
        <v>16</v>
      </c>
      <c r="J23" s="10" t="s">
        <v>17</v>
      </c>
      <c r="K23" s="11"/>
      <c r="L23" s="12"/>
      <c r="M23" s="1110" t="s">
        <v>11</v>
      </c>
      <c r="N23" s="30" t="s">
        <v>12</v>
      </c>
      <c r="O23" s="30" t="s">
        <v>13</v>
      </c>
      <c r="P23" s="30" t="s">
        <v>7</v>
      </c>
      <c r="Q23" s="30" t="s">
        <v>18</v>
      </c>
      <c r="R23" s="30" t="s">
        <v>15</v>
      </c>
      <c r="S23" s="30" t="s">
        <v>16</v>
      </c>
      <c r="T23" s="20" t="s">
        <v>19</v>
      </c>
    </row>
    <row r="24" spans="1:20">
      <c r="A24" s="15" t="s">
        <v>20</v>
      </c>
      <c r="B24" s="16" t="s">
        <v>21</v>
      </c>
      <c r="C24" s="16" t="s">
        <v>22</v>
      </c>
      <c r="D24" s="16" t="s">
        <v>22</v>
      </c>
      <c r="E24" s="16" t="s">
        <v>22</v>
      </c>
      <c r="F24" s="16" t="s">
        <v>22</v>
      </c>
      <c r="G24" s="16" t="s">
        <v>22</v>
      </c>
      <c r="H24" s="16" t="s">
        <v>22</v>
      </c>
      <c r="I24" s="16" t="s">
        <v>22</v>
      </c>
      <c r="J24" s="17" t="s">
        <v>22</v>
      </c>
      <c r="K24" s="18" t="s">
        <v>23</v>
      </c>
      <c r="L24" s="13" t="s">
        <v>24</v>
      </c>
      <c r="M24" s="1110">
        <f>C29*TJ_kytusehinnad!$H$13/1000</f>
        <v>7022.7168813094313</v>
      </c>
      <c r="N24" s="19">
        <f>D29*[9]TJ_kytusehinnad!$H$8/1000</f>
        <v>211593.19922149924</v>
      </c>
      <c r="O24" s="19">
        <f>E29*[9]TJ_kytusehinnad!$H$7/1000</f>
        <v>106157.49040369522</v>
      </c>
      <c r="P24" s="19">
        <f>F29*[9]TJ_kytusehinnad!$H$12/1000</f>
        <v>10564.206901950423</v>
      </c>
      <c r="Q24" s="19">
        <f>G29*[9]TJ_kytusehinnad!$H$10/1000</f>
        <v>24001.963276262642</v>
      </c>
      <c r="R24" s="19">
        <f>H29*[9]TJ_kytusehinnad!$H$9/1000</f>
        <v>466.14796631196469</v>
      </c>
      <c r="S24" s="19">
        <f>I29*[9]TJ_kytusehinnad!$H$11/1000</f>
        <v>31439.015475667682</v>
      </c>
      <c r="T24" s="34">
        <f>SUM(M24:S24)</f>
        <v>391244.74012669653</v>
      </c>
    </row>
    <row r="25" spans="1:20">
      <c r="A25" s="21" t="s">
        <v>25</v>
      </c>
      <c r="B25" s="22">
        <f>[4]TransportB_EE!Q56</f>
        <v>18025.317594962908</v>
      </c>
      <c r="C25" s="24">
        <f>[4]TransportB_EE!R56</f>
        <v>5.0000000000000001E-3</v>
      </c>
      <c r="D25" s="29">
        <f>[4]TransportB_EE!S56</f>
        <v>0.6</v>
      </c>
      <c r="E25" s="23">
        <f>[4]TransportB_EE!T56</f>
        <v>0.255</v>
      </c>
      <c r="F25" s="24">
        <f>[4]TransportB_EE!U56</f>
        <v>0.03</v>
      </c>
      <c r="G25" s="23">
        <f>[4]TransportB_EE!V56</f>
        <v>0.06</v>
      </c>
      <c r="H25" s="27">
        <f>[4]TransportB_EE!X56</f>
        <v>0</v>
      </c>
      <c r="I25" s="24">
        <f>[4]TransportB_EE!Z56</f>
        <v>0.05</v>
      </c>
      <c r="J25" s="25">
        <f>[4]TransportB_EE!AA56</f>
        <v>1</v>
      </c>
      <c r="K25" s="11"/>
      <c r="L25" s="13" t="s">
        <v>26</v>
      </c>
      <c r="M25" s="1110">
        <f>C29*TJ_kytusehinnad!$H$24/1000</f>
        <v>291.91722316936335</v>
      </c>
      <c r="N25" s="19">
        <f>D29*[9]TJ_kytusehinnad!$H$18/1000</f>
        <v>126369.15075872483</v>
      </c>
      <c r="O25" s="19">
        <f>E29*[9]TJ_kytusehinnad!$H$17/1000</f>
        <v>67547.699130204986</v>
      </c>
      <c r="P25" s="19">
        <f>F29*[9]TJ_kytusehinnad!$H$23/1000</f>
        <v>3000.1898342343507</v>
      </c>
      <c r="Q25" s="19">
        <f>G29*[9]TJ_kytusehinnad!$H$21/1000</f>
        <v>10519.804433608728</v>
      </c>
      <c r="R25" s="19">
        <f>H29*[9]TJ_kytusehinnad!$H$20/1000</f>
        <v>198.55785718018393</v>
      </c>
      <c r="S25" s="19">
        <f>I29*[9]TJ_kytusehinnad!$H$22/1000</f>
        <v>0</v>
      </c>
      <c r="T25" s="34">
        <f>SUM(M25:S25)</f>
        <v>207927.31923712246</v>
      </c>
    </row>
    <row r="26" spans="1:20">
      <c r="A26" s="26" t="s">
        <v>27</v>
      </c>
      <c r="B26" s="22">
        <f>[4]TransportB_EE!Q57</f>
        <v>1030.5141507644721</v>
      </c>
      <c r="C26" s="24">
        <f>[4]TransportB_EE!R57</f>
        <v>1.4999999999999999E-2</v>
      </c>
      <c r="D26" s="27">
        <f>[4]TransportB_EE!S57</f>
        <v>0</v>
      </c>
      <c r="E26" s="23">
        <f>[4]TransportB_EE!T57</f>
        <v>0.78500000000000003</v>
      </c>
      <c r="F26" s="24">
        <f>[4]TransportB_EE!U57</f>
        <v>0.05</v>
      </c>
      <c r="G26" s="27">
        <f>[4]TransportB_EE!V57</f>
        <v>0</v>
      </c>
      <c r="H26" s="27">
        <f>[4]TransportB_EE!X57</f>
        <v>0</v>
      </c>
      <c r="I26" s="24">
        <f>[4]TransportB_EE!Z57</f>
        <v>0.15</v>
      </c>
      <c r="J26" s="25">
        <f>[4]TransportB_EE!AA57</f>
        <v>1</v>
      </c>
      <c r="K26" s="11"/>
      <c r="L26" s="13" t="s">
        <v>28</v>
      </c>
      <c r="M26" s="19">
        <f t="shared" ref="M26:S26" si="8">SUM(M24:M25,M27)*0.75*0.2</f>
        <v>1097.1951156718194</v>
      </c>
      <c r="N26" s="19">
        <f t="shared" si="8"/>
        <v>53868.250485356097</v>
      </c>
      <c r="O26" s="19">
        <f t="shared" si="8"/>
        <v>27648.140786140459</v>
      </c>
      <c r="P26" s="19">
        <f t="shared" si="8"/>
        <v>2193.1226139569726</v>
      </c>
      <c r="Q26" s="19">
        <f t="shared" si="8"/>
        <v>5538.2946056246446</v>
      </c>
      <c r="R26" s="19">
        <f t="shared" si="8"/>
        <v>106.69809301850177</v>
      </c>
      <c r="S26" s="19">
        <f t="shared" si="8"/>
        <v>5187.4375534851679</v>
      </c>
      <c r="T26" s="20">
        <f>SUM(M26:S26)</f>
        <v>95639.13925325367</v>
      </c>
    </row>
    <row r="27" spans="1:20">
      <c r="A27" s="26" t="s">
        <v>29</v>
      </c>
      <c r="B27" s="22">
        <f>[4]TransportB_EE!Q58</f>
        <v>416.65975465044636</v>
      </c>
      <c r="C27" s="27">
        <f>[4]TransportB_EE!R58</f>
        <v>0.7</v>
      </c>
      <c r="D27" s="27">
        <f>[4]TransportB_EE!S58</f>
        <v>0</v>
      </c>
      <c r="E27" s="23">
        <f>[4]TransportB_EE!T58</f>
        <v>0.27</v>
      </c>
      <c r="F27" s="27">
        <f>[4]TransportB_EE!U58</f>
        <v>0</v>
      </c>
      <c r="G27" s="27">
        <f>[4]TransportB_EE!V58</f>
        <v>0</v>
      </c>
      <c r="H27" s="27">
        <f>[4]TransportB_EE!X58</f>
        <v>0.03</v>
      </c>
      <c r="I27" s="27">
        <f>[4]TransportB_EE!Z58</f>
        <v>0</v>
      </c>
      <c r="J27" s="25">
        <f>[4]TransportB_EE!AA58</f>
        <v>1</v>
      </c>
      <c r="K27" s="11"/>
      <c r="L27" s="13" t="s">
        <v>41</v>
      </c>
      <c r="M27" s="1111"/>
      <c r="N27" s="19">
        <f t="shared" ref="N27:S27" si="9">N24*0.1</f>
        <v>21159.319922149924</v>
      </c>
      <c r="O27" s="19">
        <f t="shared" si="9"/>
        <v>10615.749040369523</v>
      </c>
      <c r="P27" s="19">
        <f t="shared" si="9"/>
        <v>1056.4206901950424</v>
      </c>
      <c r="Q27" s="19">
        <f t="shared" si="9"/>
        <v>2400.1963276262645</v>
      </c>
      <c r="R27" s="19">
        <f t="shared" si="9"/>
        <v>46.614796631196469</v>
      </c>
      <c r="S27" s="19">
        <f t="shared" si="9"/>
        <v>3143.9015475667684</v>
      </c>
      <c r="T27" s="20">
        <f>SUM(M27:S27)</f>
        <v>38422.202324538717</v>
      </c>
    </row>
    <row r="28" spans="1:20">
      <c r="A28" s="28" t="s">
        <v>31</v>
      </c>
      <c r="B28" s="22">
        <f>[4]TransportB_EE!Q59</f>
        <v>294.01505064122051</v>
      </c>
      <c r="C28" s="27">
        <f>[4]TransportB_EE!R59</f>
        <v>0</v>
      </c>
      <c r="D28" s="29">
        <f>[4]TransportB_EE!S59</f>
        <v>0</v>
      </c>
      <c r="E28" s="23">
        <f>[4]TransportB_EE!T59</f>
        <v>1</v>
      </c>
      <c r="F28" s="27">
        <f>[4]TransportB_EE!U59</f>
        <v>0</v>
      </c>
      <c r="G28" s="27">
        <f>[4]TransportB_EE!V59</f>
        <v>0</v>
      </c>
      <c r="H28" s="27">
        <f>[4]TransportB_EE!X59</f>
        <v>0</v>
      </c>
      <c r="I28" s="27">
        <f>[4]TransportB_EE!Z59</f>
        <v>0</v>
      </c>
      <c r="J28" s="25">
        <f>[4]TransportB_EE!AA59</f>
        <v>1</v>
      </c>
      <c r="K28" s="11"/>
      <c r="L28" s="13" t="s">
        <v>44</v>
      </c>
      <c r="M28" s="30">
        <f t="shared" ref="M28:S28" si="10">SUM(M24:M27)</f>
        <v>8411.8292201506138</v>
      </c>
      <c r="N28" s="30">
        <f t="shared" si="10"/>
        <v>412989.92038773006</v>
      </c>
      <c r="O28" s="30">
        <f t="shared" si="10"/>
        <v>211969.07936041019</v>
      </c>
      <c r="P28" s="30">
        <f t="shared" si="10"/>
        <v>16813.940040336787</v>
      </c>
      <c r="Q28" s="30">
        <f t="shared" si="10"/>
        <v>42460.258643122273</v>
      </c>
      <c r="R28" s="30">
        <f t="shared" si="10"/>
        <v>818.01871314184677</v>
      </c>
      <c r="S28" s="30">
        <f t="shared" si="10"/>
        <v>39770.354576719619</v>
      </c>
      <c r="T28" s="20">
        <f>SUM(M28:S28)</f>
        <v>733233.40094161127</v>
      </c>
    </row>
    <row r="29" spans="1:20" ht="13.5" thickBot="1">
      <c r="A29" s="31" t="s">
        <v>17</v>
      </c>
      <c r="B29" s="32">
        <f>[4]TransportB_EE!Q60</f>
        <v>19766.506551019047</v>
      </c>
      <c r="C29" s="32">
        <f>[4]TransportB_EE!R60</f>
        <v>235.11374288769599</v>
      </c>
      <c r="D29" s="32">
        <f>[4]TransportB_EE!S60</f>
        <v>10958.129618342424</v>
      </c>
      <c r="E29" s="32">
        <f>[4]TransportB_EE!T60</f>
        <v>5787.1572250004274</v>
      </c>
      <c r="F29" s="32">
        <f>[4]TransportB_EE!U60</f>
        <v>600.03796684687018</v>
      </c>
      <c r="G29" s="32">
        <f>[4]TransportB_EE!V60</f>
        <v>1095.8129618342425</v>
      </c>
      <c r="H29" s="32">
        <f>[4]TransportB_EE!X60</f>
        <v>20.683110122935826</v>
      </c>
      <c r="I29" s="32">
        <f>[4]TransportB_EE!Z60</f>
        <v>1069.5719259844491</v>
      </c>
      <c r="J29" s="33">
        <f>[4]TransportB_EE!AA60</f>
        <v>19766.506551019043</v>
      </c>
      <c r="K29" s="11"/>
      <c r="L29" s="12"/>
      <c r="M29" s="1111"/>
      <c r="N29" s="19"/>
      <c r="O29" s="19"/>
      <c r="P29" s="19"/>
      <c r="Q29" s="19"/>
      <c r="R29" s="19"/>
      <c r="S29" s="19"/>
      <c r="T29" s="34"/>
    </row>
    <row r="30" spans="1:20">
      <c r="A30" s="35"/>
      <c r="B30" s="36">
        <f>[4]TransportB_EE!Q61</f>
        <v>0</v>
      </c>
      <c r="C30" s="9" t="str">
        <f>[4]TransportB_EE!R61</f>
        <v>Electricity</v>
      </c>
      <c r="D30" s="9" t="str">
        <f>[4]TransportB_EE!S61</f>
        <v>Gasoline</v>
      </c>
      <c r="E30" s="9" t="str">
        <f>[4]TransportB_EE!T61</f>
        <v>Diesel</v>
      </c>
      <c r="F30" s="9" t="str">
        <f>[4]TransportB_EE!U61</f>
        <v>Natural gas</v>
      </c>
      <c r="G30" s="9" t="str">
        <f>[4]TransportB_EE!V61</f>
        <v>Ethanol</v>
      </c>
      <c r="H30" s="9" t="str">
        <f>[4]TransportB_EE!X61</f>
        <v>Biodiesel</v>
      </c>
      <c r="I30" s="9" t="str">
        <f>[4]TransportB_EE!Z61</f>
        <v>Biogas</v>
      </c>
      <c r="J30" s="37" t="str">
        <f>[4]TransportB_EE!AA61</f>
        <v>Total</v>
      </c>
      <c r="K30" s="18" t="s">
        <v>33</v>
      </c>
      <c r="L30" s="13" t="s">
        <v>24</v>
      </c>
      <c r="M30" s="1111"/>
      <c r="N30" s="19">
        <f>D36*[9]TJ_kytusehinnad!$H$8/1000</f>
        <v>0</v>
      </c>
      <c r="O30" s="19">
        <f>E36*[9]TJ_kytusehinnad!$H$7/1000</f>
        <v>184273.32511286874</v>
      </c>
      <c r="P30" s="19">
        <f>F36*[9]TJ_kytusehinnad!$H$12/1000</f>
        <v>7661.9450967181983</v>
      </c>
      <c r="Q30" s="19">
        <f>G36*[9]TJ_kytusehinnad!$H$10/1000</f>
        <v>0</v>
      </c>
      <c r="R30" s="19">
        <f>H36*[9]TJ_kytusehinnad!$H$9/1000</f>
        <v>3360.0807486364815</v>
      </c>
      <c r="S30" s="19">
        <f>I36*[9]TJ_kytusehinnad!$H$11/1000</f>
        <v>25584.080103426448</v>
      </c>
      <c r="T30" s="34">
        <f>SUM(M30:S30)</f>
        <v>220879.43106164987</v>
      </c>
    </row>
    <row r="31" spans="1:20">
      <c r="A31" s="38" t="s">
        <v>34</v>
      </c>
      <c r="B31" s="16" t="str">
        <f>[4]TransportB_EE!Q62</f>
        <v>TJ</v>
      </c>
      <c r="C31" s="16" t="str">
        <f>[4]TransportB_EE!R62</f>
        <v>%</v>
      </c>
      <c r="D31" s="16" t="str">
        <f>[4]TransportB_EE!S62</f>
        <v>%</v>
      </c>
      <c r="E31" s="16" t="str">
        <f>[4]TransportB_EE!T62</f>
        <v>%</v>
      </c>
      <c r="F31" s="16" t="str">
        <f>[4]TransportB_EE!U62</f>
        <v>%</v>
      </c>
      <c r="G31" s="16" t="str">
        <f>[4]TransportB_EE!V62</f>
        <v>%</v>
      </c>
      <c r="H31" s="16" t="str">
        <f>[4]TransportB_EE!X62</f>
        <v>%</v>
      </c>
      <c r="I31" s="16" t="str">
        <f>[4]TransportB_EE!Z62</f>
        <v>%</v>
      </c>
      <c r="J31" s="17" t="str">
        <f>[4]TransportB_EE!AA62</f>
        <v>%</v>
      </c>
      <c r="K31" s="11"/>
      <c r="L31" s="13" t="s">
        <v>26</v>
      </c>
      <c r="M31" s="1111"/>
      <c r="N31" s="19">
        <f>D36*[9]TJ_kytusehinnad!$H$18/1000</f>
        <v>0</v>
      </c>
      <c r="O31" s="19">
        <f>E36*[9]TJ_kytusehinnad!$H$17/1000</f>
        <v>117252.57516085017</v>
      </c>
      <c r="P31" s="19">
        <f>F36*[9]TJ_kytusehinnad!$H$23/1000</f>
        <v>2175.9598238644521</v>
      </c>
      <c r="Q31" s="19">
        <f>G36*[9]TJ_kytusehinnad!$H$21/1000</f>
        <v>0</v>
      </c>
      <c r="R31" s="19">
        <f>H36*[9]TJ_kytusehinnad!$H$20/1000</f>
        <v>1431.24175501637</v>
      </c>
      <c r="S31" s="19">
        <f>I36*[9]TJ_kytusehinnad!$H$22/1000</f>
        <v>0</v>
      </c>
      <c r="T31" s="34">
        <f>SUM(M31:S31)</f>
        <v>120859.77673973099</v>
      </c>
    </row>
    <row r="32" spans="1:20">
      <c r="A32" s="26" t="s">
        <v>35</v>
      </c>
      <c r="B32" s="22">
        <f>[4]TransportB_EE!Q63</f>
        <v>10009.415189776479</v>
      </c>
      <c r="C32" s="23">
        <f>[4]TransportB_EE!R63</f>
        <v>0</v>
      </c>
      <c r="D32" s="23">
        <f>[4]TransportB_EE!S63</f>
        <v>0</v>
      </c>
      <c r="E32" s="23">
        <f>[4]TransportB_EE!T63</f>
        <v>0.88</v>
      </c>
      <c r="F32" s="24">
        <f>[4]TransportB_EE!U63</f>
        <v>0.04</v>
      </c>
      <c r="G32" s="23">
        <f>[4]TransportB_EE!V63</f>
        <v>0</v>
      </c>
      <c r="H32" s="23">
        <f>[4]TransportB_EE!X63</f>
        <v>0</v>
      </c>
      <c r="I32" s="24">
        <f>[4]TransportB_EE!Z63</f>
        <v>0.08</v>
      </c>
      <c r="J32" s="25">
        <f>[4]TransportB_EE!AA63</f>
        <v>1</v>
      </c>
      <c r="K32" s="11"/>
      <c r="L32" s="13" t="s">
        <v>28</v>
      </c>
      <c r="M32" s="1111"/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0">
        <f>SUM(M32:S32)</f>
        <v>0</v>
      </c>
    </row>
    <row r="33" spans="1:20">
      <c r="A33" s="26" t="s">
        <v>36</v>
      </c>
      <c r="B33" s="22">
        <f>[4]TransportB_EE!Q64</f>
        <v>1490.8768281420519</v>
      </c>
      <c r="C33" s="27">
        <f>[4]TransportB_EE!R64</f>
        <v>0</v>
      </c>
      <c r="D33" s="27">
        <f>[4]TransportB_EE!S64</f>
        <v>0</v>
      </c>
      <c r="E33" s="23">
        <f>[4]TransportB_EE!T64</f>
        <v>0.9</v>
      </c>
      <c r="F33" s="27">
        <f>[4]TransportB_EE!U64</f>
        <v>0</v>
      </c>
      <c r="G33" s="27">
        <f>[4]TransportB_EE!V64</f>
        <v>0</v>
      </c>
      <c r="H33" s="27">
        <f>[4]TransportB_EE!X64</f>
        <v>0.1</v>
      </c>
      <c r="I33" s="27">
        <f>[4]TransportB_EE!Z64</f>
        <v>0</v>
      </c>
      <c r="J33" s="25">
        <f>[4]TransportB_EE!AA64</f>
        <v>1</v>
      </c>
      <c r="K33" s="11"/>
      <c r="L33" s="13" t="s">
        <v>41</v>
      </c>
      <c r="M33" s="1111"/>
      <c r="N33" s="19">
        <f t="shared" ref="N33:S33" si="11">N30*0.1</f>
        <v>0</v>
      </c>
      <c r="O33" s="19">
        <f t="shared" si="11"/>
        <v>18427.332511286873</v>
      </c>
      <c r="P33" s="19">
        <f t="shared" si="11"/>
        <v>766.1945096718199</v>
      </c>
      <c r="Q33" s="19">
        <f t="shared" si="11"/>
        <v>0</v>
      </c>
      <c r="R33" s="19">
        <f t="shared" si="11"/>
        <v>336.00807486364818</v>
      </c>
      <c r="S33" s="19">
        <f t="shared" si="11"/>
        <v>2558.408010342645</v>
      </c>
      <c r="T33" s="20">
        <f>SUM(M33:S33)</f>
        <v>22087.943106164985</v>
      </c>
    </row>
    <row r="34" spans="1:20" ht="13.5" thickBot="1">
      <c r="A34" s="26" t="s">
        <v>37</v>
      </c>
      <c r="B34" s="22">
        <f>[4]TransportB_EE!Q65</f>
        <v>0</v>
      </c>
      <c r="C34" s="27">
        <f>[4]TransportB_EE!R65</f>
        <v>0</v>
      </c>
      <c r="D34" s="27">
        <f>[4]TransportB_EE!S65</f>
        <v>0</v>
      </c>
      <c r="E34" s="23">
        <f>[4]TransportB_EE!T65</f>
        <v>1</v>
      </c>
      <c r="F34" s="27">
        <f>[4]TransportB_EE!U65</f>
        <v>0</v>
      </c>
      <c r="G34" s="27">
        <f>[4]TransportB_EE!V65</f>
        <v>0</v>
      </c>
      <c r="H34" s="27">
        <f>[4]TransportB_EE!X65</f>
        <v>0</v>
      </c>
      <c r="I34" s="27">
        <f>[4]TransportB_EE!Z65</f>
        <v>0</v>
      </c>
      <c r="J34" s="25">
        <f>[4]TransportB_EE!AA65</f>
        <v>1</v>
      </c>
      <c r="K34" s="11"/>
      <c r="L34" s="13" t="s">
        <v>45</v>
      </c>
      <c r="M34" s="1111">
        <f>C36*TJ_kytusehinnad!$H$13/1000</f>
        <v>0</v>
      </c>
      <c r="N34" s="19">
        <f t="shared" ref="N34:S34" si="12">SUM(N30:N33)</f>
        <v>0</v>
      </c>
      <c r="O34" s="19">
        <f t="shared" si="12"/>
        <v>319953.23278500582</v>
      </c>
      <c r="P34" s="19">
        <f t="shared" si="12"/>
        <v>10604.09943025447</v>
      </c>
      <c r="Q34" s="19">
        <f t="shared" si="12"/>
        <v>0</v>
      </c>
      <c r="R34" s="19">
        <f t="shared" si="12"/>
        <v>5127.3305785164994</v>
      </c>
      <c r="S34" s="19">
        <f t="shared" si="12"/>
        <v>28142.488113769094</v>
      </c>
      <c r="T34" s="20">
        <f>SUM(M34:S34)</f>
        <v>363827.15090754593</v>
      </c>
    </row>
    <row r="35" spans="1:20">
      <c r="A35" s="26" t="s">
        <v>38</v>
      </c>
      <c r="B35" s="22">
        <f>[4]TransportB_EE!Q66</f>
        <v>0</v>
      </c>
      <c r="C35" s="27">
        <f>[4]TransportB_EE!R66</f>
        <v>0</v>
      </c>
      <c r="D35" s="29">
        <f>[4]TransportB_EE!S66</f>
        <v>0</v>
      </c>
      <c r="E35" s="23">
        <f>[4]TransportB_EE!T66</f>
        <v>1</v>
      </c>
      <c r="F35" s="27">
        <f>[4]TransportB_EE!U66</f>
        <v>0</v>
      </c>
      <c r="G35" s="27">
        <f>[4]TransportB_EE!V66</f>
        <v>0</v>
      </c>
      <c r="H35" s="27">
        <f>[4]TransportB_EE!X66</f>
        <v>0</v>
      </c>
      <c r="I35" s="27">
        <f>[4]TransportB_EE!Z66</f>
        <v>0</v>
      </c>
      <c r="J35" s="25">
        <f>[4]TransportB_EE!AA66</f>
        <v>1</v>
      </c>
      <c r="K35" s="5" t="s">
        <v>19</v>
      </c>
      <c r="L35" s="6"/>
      <c r="M35" s="1112"/>
      <c r="N35" s="39"/>
      <c r="O35" s="39"/>
      <c r="P35" s="39"/>
      <c r="Q35" s="39"/>
      <c r="R35" s="39"/>
      <c r="S35" s="39"/>
      <c r="T35" s="40"/>
    </row>
    <row r="36" spans="1:20" ht="13.5" thickBot="1">
      <c r="A36" s="41" t="s">
        <v>17</v>
      </c>
      <c r="B36" s="32">
        <f>[4]TransportB_EE!Q67</f>
        <v>11500.292017918531</v>
      </c>
      <c r="C36" s="32">
        <f>[4]TransportB_EE!R67</f>
        <v>0</v>
      </c>
      <c r="D36" s="32">
        <f>[4]TransportB_EE!S67</f>
        <v>0</v>
      </c>
      <c r="E36" s="32">
        <f>[4]TransportB_EE!T67</f>
        <v>10045.628440785655</v>
      </c>
      <c r="F36" s="32">
        <f>[4]TransportB_EE!U67</f>
        <v>435.1919647728904</v>
      </c>
      <c r="G36" s="32">
        <f>[4]TransportB_EE!V67</f>
        <v>0</v>
      </c>
      <c r="H36" s="32">
        <f>[4]TransportB_EE!X67</f>
        <v>149.08768281420521</v>
      </c>
      <c r="I36" s="32">
        <f>[4]TransportB_EE!Z67</f>
        <v>870.3839295457808</v>
      </c>
      <c r="J36" s="33">
        <f>[4]TransportB_EE!AA67</f>
        <v>11500.292017918529</v>
      </c>
      <c r="K36" s="18" t="s">
        <v>46</v>
      </c>
      <c r="L36" s="13" t="s">
        <v>24</v>
      </c>
      <c r="M36" s="19">
        <f t="shared" ref="M36:T36" si="13">M24+M30</f>
        <v>7022.7168813094313</v>
      </c>
      <c r="N36" s="19">
        <f t="shared" si="13"/>
        <v>211593.19922149924</v>
      </c>
      <c r="O36" s="19">
        <f t="shared" si="13"/>
        <v>290430.81551656395</v>
      </c>
      <c r="P36" s="19">
        <f t="shared" si="13"/>
        <v>18226.151998668622</v>
      </c>
      <c r="Q36" s="19">
        <f t="shared" si="13"/>
        <v>24001.963276262642</v>
      </c>
      <c r="R36" s="19">
        <f t="shared" si="13"/>
        <v>3826.2287149484464</v>
      </c>
      <c r="S36" s="19">
        <f t="shared" si="13"/>
        <v>57023.09557909413</v>
      </c>
      <c r="T36" s="20">
        <f t="shared" si="13"/>
        <v>612124.17118834634</v>
      </c>
    </row>
    <row r="37" spans="1:20">
      <c r="A37" s="26"/>
      <c r="B37" s="9">
        <f>[4]TransportB_EE!Q68</f>
        <v>0</v>
      </c>
      <c r="C37" s="9" t="str">
        <f>[4]TransportB_EE!R68</f>
        <v>Electricity</v>
      </c>
      <c r="D37" s="9" t="str">
        <f>[4]TransportB_EE!S68</f>
        <v>Gasoline</v>
      </c>
      <c r="E37" s="9" t="str">
        <f>[4]TransportB_EE!T68</f>
        <v>Diesel</v>
      </c>
      <c r="F37" s="9" t="str">
        <f>[4]TransportB_EE!U68</f>
        <v>Natural gas</v>
      </c>
      <c r="G37" s="9" t="str">
        <f>[4]TransportB_EE!V68</f>
        <v>Ethanol</v>
      </c>
      <c r="H37" s="9" t="str">
        <f>[4]TransportB_EE!X68</f>
        <v>Biodiesel</v>
      </c>
      <c r="I37" s="9" t="str">
        <f>[4]TransportB_EE!Z68</f>
        <v>Biogas</v>
      </c>
      <c r="J37" s="10" t="str">
        <f>[4]TransportB_EE!AA68</f>
        <v>Total</v>
      </c>
      <c r="K37" s="11"/>
      <c r="L37" s="13" t="s">
        <v>26</v>
      </c>
      <c r="M37" s="1111">
        <f t="shared" ref="M37:T40" si="14">M25+M31</f>
        <v>291.91722316936335</v>
      </c>
      <c r="N37" s="19">
        <f t="shared" si="14"/>
        <v>126369.15075872483</v>
      </c>
      <c r="O37" s="19">
        <f t="shared" si="14"/>
        <v>184800.27429105516</v>
      </c>
      <c r="P37" s="19">
        <f t="shared" si="14"/>
        <v>5176.1496580988023</v>
      </c>
      <c r="Q37" s="19">
        <f t="shared" si="14"/>
        <v>10519.804433608728</v>
      </c>
      <c r="R37" s="19">
        <f t="shared" si="14"/>
        <v>1629.7996121965539</v>
      </c>
      <c r="S37" s="19">
        <f t="shared" si="14"/>
        <v>0</v>
      </c>
      <c r="T37" s="20">
        <f>T25+T31</f>
        <v>328787.09597685345</v>
      </c>
    </row>
    <row r="38" spans="1:20">
      <c r="A38" s="42"/>
      <c r="B38" s="16" t="str">
        <f>[4]TransportB_EE!Q69</f>
        <v>TJ</v>
      </c>
      <c r="C38" s="16" t="str">
        <f>[4]TransportB_EE!R69</f>
        <v>%</v>
      </c>
      <c r="D38" s="16" t="str">
        <f>[4]TransportB_EE!S69</f>
        <v>%</v>
      </c>
      <c r="E38" s="16" t="str">
        <f>[4]TransportB_EE!T69</f>
        <v>%</v>
      </c>
      <c r="F38" s="16" t="str">
        <f>[4]TransportB_EE!U69</f>
        <v>%</v>
      </c>
      <c r="G38" s="16" t="str">
        <f>[4]TransportB_EE!V69</f>
        <v>%</v>
      </c>
      <c r="H38" s="16" t="str">
        <f>[4]TransportB_EE!X69</f>
        <v>%</v>
      </c>
      <c r="I38" s="16">
        <f>[4]TransportB_EE!Z69</f>
        <v>0</v>
      </c>
      <c r="J38" s="17" t="str">
        <f>[4]TransportB_EE!AA69</f>
        <v>%</v>
      </c>
      <c r="K38" s="11"/>
      <c r="L38" s="13" t="s">
        <v>28</v>
      </c>
      <c r="M38" s="1111">
        <f t="shared" si="14"/>
        <v>1097.1951156718194</v>
      </c>
      <c r="N38" s="19">
        <f t="shared" si="14"/>
        <v>53868.250485356097</v>
      </c>
      <c r="O38" s="19">
        <f t="shared" si="14"/>
        <v>27648.140786140459</v>
      </c>
      <c r="P38" s="19">
        <f t="shared" si="14"/>
        <v>2193.1226139569726</v>
      </c>
      <c r="Q38" s="19">
        <f t="shared" si="14"/>
        <v>5538.2946056246446</v>
      </c>
      <c r="R38" s="19">
        <f t="shared" si="14"/>
        <v>106.69809301850177</v>
      </c>
      <c r="S38" s="19">
        <f t="shared" si="14"/>
        <v>5187.4375534851679</v>
      </c>
      <c r="T38" s="20">
        <f t="shared" si="14"/>
        <v>95639.13925325367</v>
      </c>
    </row>
    <row r="39" spans="1:20" ht="12.75" customHeight="1">
      <c r="A39" s="1158" t="s">
        <v>40</v>
      </c>
      <c r="B39" s="43">
        <f>[4]TransportB_EE!Q70</f>
        <v>31266.798568937578</v>
      </c>
      <c r="C39" s="44">
        <f>[4]TransportB_EE!R70</f>
        <v>1.2705046460568673E-2</v>
      </c>
      <c r="D39" s="44">
        <f>[4]TransportB_EE!S70</f>
        <v>0.34590015773863847</v>
      </c>
      <c r="E39" s="44">
        <f>[4]TransportB_EE!T70</f>
        <v>0.51050948681555453</v>
      </c>
      <c r="F39" s="44">
        <f>[4]TransportB_EE!U70</f>
        <v>3.1748112643817113E-2</v>
      </c>
      <c r="G39" s="45">
        <f>[4]TransportB_EE!V70</f>
        <v>3.4590015773863843E-2</v>
      </c>
      <c r="H39" s="45">
        <f>[4]TransportB_EE!X70</f>
        <v>5.1680211230276012E-3</v>
      </c>
      <c r="I39" s="45">
        <f>[4]TransportB_EE!Z70</f>
        <v>5.9379159444529601E-2</v>
      </c>
      <c r="J39" s="46">
        <f>[4]TransportB_EE!AA70</f>
        <v>1</v>
      </c>
      <c r="K39" s="11"/>
      <c r="L39" s="13" t="s">
        <v>41</v>
      </c>
      <c r="M39" s="1111">
        <f t="shared" si="14"/>
        <v>0</v>
      </c>
      <c r="N39" s="19">
        <f t="shared" si="14"/>
        <v>21159.319922149924</v>
      </c>
      <c r="O39" s="19">
        <f t="shared" si="14"/>
        <v>29043.081551656396</v>
      </c>
      <c r="P39" s="19">
        <f t="shared" si="14"/>
        <v>1822.6151998668624</v>
      </c>
      <c r="Q39" s="19">
        <f t="shared" si="14"/>
        <v>2400.1963276262645</v>
      </c>
      <c r="R39" s="19">
        <f t="shared" si="14"/>
        <v>382.62287149484462</v>
      </c>
      <c r="S39" s="19">
        <f t="shared" si="14"/>
        <v>5702.3095579094133</v>
      </c>
      <c r="T39" s="20">
        <f t="shared" si="14"/>
        <v>60510.145430703706</v>
      </c>
    </row>
    <row r="40" spans="1:20" ht="13.5" thickBot="1">
      <c r="A40" s="1159"/>
      <c r="B40" s="47">
        <f>[4]TransportB_EE!Q71</f>
        <v>0</v>
      </c>
      <c r="C40" s="48">
        <f>[4]TransportB_EE!R71</f>
        <v>235.11374288769599</v>
      </c>
      <c r="D40" s="48">
        <f>[4]TransportB_EE!S71</f>
        <v>10958.129618342424</v>
      </c>
      <c r="E40" s="48">
        <f>[4]TransportB_EE!T71</f>
        <v>15832.785665786083</v>
      </c>
      <c r="F40" s="48">
        <f>[4]TransportB_EE!U71</f>
        <v>1035.2299316197605</v>
      </c>
      <c r="G40" s="48">
        <f>[4]TransportB_EE!V71</f>
        <v>1095.8129618342425</v>
      </c>
      <c r="H40" s="48">
        <f>[4]TransportB_EE!X71</f>
        <v>169.77079293714104</v>
      </c>
      <c r="I40" s="48">
        <f>[4]TransportB_EE!Z71</f>
        <v>1939.9558555302299</v>
      </c>
      <c r="J40" s="49">
        <f>[4]TransportB_EE!AA71</f>
        <v>31266.798568937571</v>
      </c>
      <c r="K40" s="50"/>
      <c r="L40" s="51" t="s">
        <v>32</v>
      </c>
      <c r="M40" s="52">
        <f t="shared" si="14"/>
        <v>8411.8292201506138</v>
      </c>
      <c r="N40" s="52">
        <f t="shared" si="14"/>
        <v>412989.92038773006</v>
      </c>
      <c r="O40" s="52">
        <f t="shared" si="14"/>
        <v>531922.31214541604</v>
      </c>
      <c r="P40" s="52">
        <f t="shared" si="14"/>
        <v>27418.039470591255</v>
      </c>
      <c r="Q40" s="52">
        <f t="shared" si="14"/>
        <v>42460.258643122273</v>
      </c>
      <c r="R40" s="52">
        <f t="shared" si="14"/>
        <v>5945.3492916583464</v>
      </c>
      <c r="S40" s="52">
        <f t="shared" si="14"/>
        <v>67912.842690488716</v>
      </c>
      <c r="T40" s="53">
        <f t="shared" si="14"/>
        <v>1097060.5518491571</v>
      </c>
    </row>
    <row r="41" spans="1:20" ht="13.5" thickBot="1">
      <c r="M41" s="1114"/>
      <c r="N41" s="54"/>
      <c r="O41" s="54"/>
      <c r="P41" s="54"/>
      <c r="Q41" s="54"/>
      <c r="R41" s="54"/>
      <c r="S41" s="54"/>
      <c r="T41" s="54"/>
    </row>
    <row r="42" spans="1:20" ht="12.75" customHeight="1">
      <c r="A42" s="55"/>
      <c r="B42" s="3"/>
      <c r="C42" s="3"/>
      <c r="D42" s="3"/>
      <c r="E42" s="3"/>
      <c r="F42" s="3"/>
      <c r="G42" s="3"/>
      <c r="H42" s="3"/>
      <c r="I42" s="3"/>
      <c r="J42" s="3"/>
      <c r="K42" s="5" t="s">
        <v>47</v>
      </c>
      <c r="L42" s="56"/>
      <c r="M42" s="1112"/>
      <c r="N42" s="39"/>
      <c r="O42" s="39"/>
      <c r="P42" s="39"/>
      <c r="Q42" s="39"/>
      <c r="R42" s="39"/>
      <c r="S42" s="39"/>
      <c r="T42" s="40"/>
    </row>
    <row r="43" spans="1:20">
      <c r="A43" s="8" t="s">
        <v>48</v>
      </c>
      <c r="B43" s="9"/>
      <c r="C43" s="9" t="s">
        <v>11</v>
      </c>
      <c r="D43" s="9" t="s">
        <v>12</v>
      </c>
      <c r="E43" s="9" t="s">
        <v>13</v>
      </c>
      <c r="F43" s="9" t="s">
        <v>7</v>
      </c>
      <c r="G43" s="9" t="s">
        <v>14</v>
      </c>
      <c r="H43" s="9" t="s">
        <v>15</v>
      </c>
      <c r="I43" s="9" t="s">
        <v>16</v>
      </c>
      <c r="J43" s="9" t="s">
        <v>17</v>
      </c>
      <c r="K43" s="57" t="s">
        <v>3</v>
      </c>
      <c r="L43" s="58"/>
      <c r="M43" s="1115" t="s">
        <v>11</v>
      </c>
      <c r="N43" s="59" t="s">
        <v>12</v>
      </c>
      <c r="O43" s="59" t="s">
        <v>13</v>
      </c>
      <c r="P43" s="59" t="s">
        <v>7</v>
      </c>
      <c r="Q43" s="59" t="s">
        <v>18</v>
      </c>
      <c r="R43" s="59" t="s">
        <v>15</v>
      </c>
      <c r="S43" s="59" t="s">
        <v>16</v>
      </c>
      <c r="T43" s="60" t="s">
        <v>19</v>
      </c>
    </row>
    <row r="44" spans="1:20">
      <c r="A44" s="15" t="s">
        <v>20</v>
      </c>
      <c r="B44" s="16" t="s">
        <v>21</v>
      </c>
      <c r="C44" s="16" t="s">
        <v>22</v>
      </c>
      <c r="D44" s="16" t="s">
        <v>22</v>
      </c>
      <c r="E44" s="16" t="s">
        <v>22</v>
      </c>
      <c r="F44" s="16" t="s">
        <v>22</v>
      </c>
      <c r="G44" s="16" t="s">
        <v>22</v>
      </c>
      <c r="H44" s="16" t="s">
        <v>22</v>
      </c>
      <c r="I44" s="16" t="s">
        <v>22</v>
      </c>
      <c r="J44" s="16" t="s">
        <v>22</v>
      </c>
      <c r="K44" s="57" t="s">
        <v>23</v>
      </c>
      <c r="L44" s="61" t="s">
        <v>24</v>
      </c>
      <c r="M44" s="1115">
        <f>C49*TJ_kytusehinnad!$H$13/1000</f>
        <v>5703.9491598833838</v>
      </c>
      <c r="N44" s="62">
        <f>D49*[9]TJ_kytusehinnad!$H$8/1000</f>
        <v>238623.6732729777</v>
      </c>
      <c r="O44" s="62">
        <f>E49*[9]TJ_kytusehinnad!$H$7/1000</f>
        <v>118544.83424419379</v>
      </c>
      <c r="P44" s="62">
        <f>F49*[9]TJ_kytusehinnad!$H$12/1000</f>
        <v>4408.6351378825675</v>
      </c>
      <c r="Q44" s="62">
        <f>G49*[9]TJ_kytusehinnad!$H$10/1000</f>
        <v>25779.191318946341</v>
      </c>
      <c r="R44" s="62">
        <f>H49*[9]TJ_kytusehinnad!$H$9/1000</f>
        <v>670.55455870080391</v>
      </c>
      <c r="S44" s="62">
        <f>I49*[9]TJ_kytusehinnad!$H$11/1000</f>
        <v>16315.484848840957</v>
      </c>
      <c r="T44" s="62">
        <f>SUM(M44:S44)</f>
        <v>410046.32254142559</v>
      </c>
    </row>
    <row r="45" spans="1:20">
      <c r="A45" s="21" t="s">
        <v>25</v>
      </c>
      <c r="B45" s="22">
        <f>[4]TransportB_VS!Q56</f>
        <v>19279.204483105743</v>
      </c>
      <c r="C45" s="24">
        <f>[4]TransportB_VS!R56</f>
        <v>1.5E-3</v>
      </c>
      <c r="D45" s="29">
        <f>[4]TransportB_VS!S56</f>
        <v>0.63</v>
      </c>
      <c r="E45" s="23">
        <f>[4]TransportB_VS!T56</f>
        <v>0.27850000000000008</v>
      </c>
      <c r="F45" s="24">
        <f>[4]TransportB_VS!U56</f>
        <v>0.01</v>
      </c>
      <c r="G45" s="23">
        <f>[4]TransportB_VS!V56</f>
        <v>0.06</v>
      </c>
      <c r="H45" s="27">
        <f>[4]TransportB_VS!X56</f>
        <v>0</v>
      </c>
      <c r="I45" s="24">
        <f>[4]TransportB_VS!Z56</f>
        <v>0.02</v>
      </c>
      <c r="J45" s="29">
        <f>[4]TransportB_VS!AA56</f>
        <v>1</v>
      </c>
      <c r="K45" s="63"/>
      <c r="L45" s="61" t="s">
        <v>26</v>
      </c>
      <c r="M45" s="1115">
        <f>C49*TJ_kytusehinnad!$H$24/1000</f>
        <v>237.0992634323477</v>
      </c>
      <c r="N45" s="62">
        <f>D49*[9]TJ_kytusehinnad!$H$18/1000</f>
        <v>142512.47702374033</v>
      </c>
      <c r="O45" s="62">
        <f>E49*[9]TJ_kytusehinnad!$H$17/1000</f>
        <v>75429.729607550078</v>
      </c>
      <c r="P45" s="62">
        <f>F49*[9]TJ_kytusehinnad!$H$23/1000</f>
        <v>1252.0336307576142</v>
      </c>
      <c r="Q45" s="62">
        <f>G49*[9]TJ_kytusehinnad!$H$21/1000</f>
        <v>11298.744523957412</v>
      </c>
      <c r="R45" s="62">
        <f>H49*[9]TJ_kytusehinnad!$H$20/1000</f>
        <v>285.62577962408255</v>
      </c>
      <c r="S45" s="62">
        <f>I49*[9]TJ_kytusehinnad!$H$22/1000</f>
        <v>0</v>
      </c>
      <c r="T45" s="62">
        <f>SUM(M45:S45)</f>
        <v>231015.70982906187</v>
      </c>
    </row>
    <row r="46" spans="1:20">
      <c r="A46" s="26" t="s">
        <v>27</v>
      </c>
      <c r="B46" s="22">
        <f>[4]TransportB_VS!Q57</f>
        <v>1074.0328873893695</v>
      </c>
      <c r="C46" s="24">
        <f>[4]TransportB_VS!R57</f>
        <v>1.2999999999999999E-2</v>
      </c>
      <c r="D46" s="27">
        <f>[4]TransportB_VS!S57</f>
        <v>0</v>
      </c>
      <c r="E46" s="23">
        <f>[4]TransportB_VS!T57</f>
        <v>0.78700000000000003</v>
      </c>
      <c r="F46" s="24">
        <f>[4]TransportB_VS!U57</f>
        <v>0.05</v>
      </c>
      <c r="G46" s="27">
        <f>[4]TransportB_VS!V57</f>
        <v>0</v>
      </c>
      <c r="H46" s="27">
        <f>[4]TransportB_VS!X57</f>
        <v>0</v>
      </c>
      <c r="I46" s="24">
        <f>[4]TransportB_VS!Z57</f>
        <v>0.15</v>
      </c>
      <c r="J46" s="29">
        <f>[4]TransportB_VS!AA57</f>
        <v>1</v>
      </c>
      <c r="K46" s="63"/>
      <c r="L46" s="61" t="s">
        <v>28</v>
      </c>
      <c r="M46" s="62">
        <f t="shared" ref="M46:S46" si="15">SUM(M44:M45,M47)*0.75*0.2</f>
        <v>891.15726349735962</v>
      </c>
      <c r="N46" s="62">
        <f t="shared" si="15"/>
        <v>60749.777643602371</v>
      </c>
      <c r="O46" s="62">
        <f t="shared" si="15"/>
        <v>30874.357091424492</v>
      </c>
      <c r="P46" s="62">
        <f t="shared" si="15"/>
        <v>915.22984236426589</v>
      </c>
      <c r="Q46" s="62">
        <f t="shared" si="15"/>
        <v>5948.3782462197578</v>
      </c>
      <c r="R46" s="62">
        <f t="shared" si="15"/>
        <v>153.48536912924504</v>
      </c>
      <c r="S46" s="62">
        <f t="shared" si="15"/>
        <v>2692.0550000587582</v>
      </c>
      <c r="T46" s="60">
        <f>SUM(M46:S46)</f>
        <v>102224.44045629624</v>
      </c>
    </row>
    <row r="47" spans="1:20">
      <c r="A47" s="26" t="s">
        <v>29</v>
      </c>
      <c r="B47" s="22">
        <f>[4]TransportB_VS!Q58</f>
        <v>359.61941456293005</v>
      </c>
      <c r="C47" s="27">
        <f>[4]TransportB_VS!R58</f>
        <v>0.7</v>
      </c>
      <c r="D47" s="27">
        <f>[4]TransportB_VS!S58</f>
        <v>0</v>
      </c>
      <c r="E47" s="23">
        <f>[4]TransportB_VS!T58</f>
        <v>0.25</v>
      </c>
      <c r="F47" s="27">
        <f>[4]TransportB_VS!U58</f>
        <v>0</v>
      </c>
      <c r="G47" s="27">
        <f>[4]TransportB_VS!V58</f>
        <v>0</v>
      </c>
      <c r="H47" s="27">
        <f>[4]TransportB_VS!X58</f>
        <v>0.05</v>
      </c>
      <c r="I47" s="27">
        <f>[4]TransportB_VS!Z58</f>
        <v>0</v>
      </c>
      <c r="J47" s="29">
        <f>[4]TransportB_VS!AA58</f>
        <v>1</v>
      </c>
      <c r="K47" s="63"/>
      <c r="L47" s="61" t="s">
        <v>41</v>
      </c>
      <c r="M47" s="1116"/>
      <c r="N47" s="62">
        <f t="shared" ref="N47:S47" si="16">N44*0.1</f>
        <v>23862.367327297772</v>
      </c>
      <c r="O47" s="62">
        <f t="shared" si="16"/>
        <v>11854.483424419379</v>
      </c>
      <c r="P47" s="62">
        <f t="shared" si="16"/>
        <v>440.8635137882568</v>
      </c>
      <c r="Q47" s="62">
        <f t="shared" si="16"/>
        <v>2577.9191318946341</v>
      </c>
      <c r="R47" s="62">
        <f t="shared" si="16"/>
        <v>67.055455870080394</v>
      </c>
      <c r="S47" s="62">
        <f t="shared" si="16"/>
        <v>1631.5484848840958</v>
      </c>
      <c r="T47" s="60">
        <f>SUM(M47:S47)</f>
        <v>40434.23733815422</v>
      </c>
    </row>
    <row r="48" spans="1:20">
      <c r="A48" s="28" t="s">
        <v>31</v>
      </c>
      <c r="B48" s="22">
        <f>[4]TransportB_VS!Q59</f>
        <v>310.73223499999995</v>
      </c>
      <c r="C48" s="27">
        <f>[4]TransportB_VS!R59</f>
        <v>0</v>
      </c>
      <c r="D48" s="29">
        <f>[4]TransportB_VS!S59</f>
        <v>0</v>
      </c>
      <c r="E48" s="23">
        <f>[4]TransportB_VS!T59</f>
        <v>1</v>
      </c>
      <c r="F48" s="27">
        <f>[4]TransportB_VS!U59</f>
        <v>0</v>
      </c>
      <c r="G48" s="27">
        <f>[4]TransportB_VS!V59</f>
        <v>0</v>
      </c>
      <c r="H48" s="27">
        <f>[4]TransportB_VS!X59</f>
        <v>0</v>
      </c>
      <c r="I48" s="27">
        <f>[4]TransportB_VS!Z59</f>
        <v>0</v>
      </c>
      <c r="J48" s="29">
        <f>[4]TransportB_VS!AA59</f>
        <v>1</v>
      </c>
      <c r="K48" s="63"/>
      <c r="L48" s="61" t="s">
        <v>44</v>
      </c>
      <c r="M48" s="59">
        <f t="shared" ref="M48:S48" si="17">SUM(M44:M47)</f>
        <v>6832.2056868130912</v>
      </c>
      <c r="N48" s="59">
        <f t="shared" si="17"/>
        <v>465748.29526761809</v>
      </c>
      <c r="O48" s="59">
        <f t="shared" si="17"/>
        <v>236703.40436758776</v>
      </c>
      <c r="P48" s="59">
        <f t="shared" si="17"/>
        <v>7016.7621247927045</v>
      </c>
      <c r="Q48" s="59">
        <f t="shared" si="17"/>
        <v>45604.233221018141</v>
      </c>
      <c r="R48" s="59">
        <f t="shared" si="17"/>
        <v>1176.7211633242118</v>
      </c>
      <c r="S48" s="59">
        <f t="shared" si="17"/>
        <v>20639.088333783813</v>
      </c>
      <c r="T48" s="60">
        <f>SUM(M48:S48)</f>
        <v>783720.71016493777</v>
      </c>
    </row>
    <row r="49" spans="1:20" ht="13.5" thickBot="1">
      <c r="A49" s="31" t="s">
        <v>17</v>
      </c>
      <c r="B49" s="32">
        <f>[4]TransportB_VS!Q60</f>
        <v>21023.589020058043</v>
      </c>
      <c r="C49" s="32">
        <f>[4]TransportB_VS!R60</f>
        <v>190.96267995517698</v>
      </c>
      <c r="D49" s="32">
        <f>[4]TransportB_VS!S60</f>
        <v>12358.001823078419</v>
      </c>
      <c r="E49" s="32">
        <f>[4]TransportB_VS!T60</f>
        <v>6462.4511315584377</v>
      </c>
      <c r="F49" s="32">
        <f>[4]TransportB_VS!U60</f>
        <v>250.40672615152283</v>
      </c>
      <c r="G49" s="32">
        <f>[4]TransportB_VS!V60</f>
        <v>1176.952554578897</v>
      </c>
      <c r="H49" s="32">
        <f>[4]TransportB_VS!X60</f>
        <v>29.752685377508602</v>
      </c>
      <c r="I49" s="32">
        <f>[4]TransportB_VS!Z60</f>
        <v>555.06141935808557</v>
      </c>
      <c r="J49" s="32">
        <f>[4]TransportB_VS!AA60</f>
        <v>21023.589020058047</v>
      </c>
      <c r="K49" s="63"/>
      <c r="L49" s="58"/>
      <c r="M49" s="1116"/>
      <c r="N49" s="62"/>
      <c r="O49" s="62"/>
      <c r="P49" s="62"/>
      <c r="Q49" s="62"/>
      <c r="R49" s="62"/>
      <c r="S49" s="62"/>
      <c r="T49" s="64"/>
    </row>
    <row r="50" spans="1:20">
      <c r="A50" s="35"/>
      <c r="B50" s="36">
        <f>[4]TransportB_VS!Q61</f>
        <v>0</v>
      </c>
      <c r="C50" s="9" t="str">
        <f>[4]TransportB_VS!R61</f>
        <v>Electricity</v>
      </c>
      <c r="D50" s="9" t="str">
        <f>[4]TransportB_VS!S61</f>
        <v>Gasoline</v>
      </c>
      <c r="E50" s="9" t="str">
        <f>[4]TransportB_VS!T61</f>
        <v>Diesel</v>
      </c>
      <c r="F50" s="9" t="str">
        <f>[4]TransportB_VS!U61</f>
        <v>Natural gas</v>
      </c>
      <c r="G50" s="9" t="str">
        <f>[4]TransportB_VS!V61</f>
        <v>Ethanol</v>
      </c>
      <c r="H50" s="9" t="str">
        <f>[4]TransportB_VS!X61</f>
        <v>Biodiesel</v>
      </c>
      <c r="I50" s="9" t="str">
        <f>[4]TransportB_VS!Z61</f>
        <v>Biogas</v>
      </c>
      <c r="J50" s="36" t="str">
        <f>[4]TransportB_VS!AA61</f>
        <v>Total</v>
      </c>
      <c r="K50" s="57" t="s">
        <v>33</v>
      </c>
      <c r="L50" s="61" t="s">
        <v>24</v>
      </c>
      <c r="M50" s="1116"/>
      <c r="N50" s="62">
        <f>D56*[9]TJ_kytusehinnad!$H$8/1000</f>
        <v>0</v>
      </c>
      <c r="O50" s="62">
        <f>E56*[9]TJ_kytusehinnad!$H$7/1000</f>
        <v>229876.84309794952</v>
      </c>
      <c r="P50" s="62">
        <f>F56*[9]TJ_kytusehinnad!$H$12/1000</f>
        <v>7535.6122408524998</v>
      </c>
      <c r="Q50" s="62">
        <f>G56*[9]TJ_kytusehinnad!$H$10/1000</f>
        <v>0</v>
      </c>
      <c r="R50" s="62">
        <f>H56*[9]TJ_kytusehinnad!$H$9/1000</f>
        <v>17740.146113516883</v>
      </c>
      <c r="S50" s="62">
        <f>I56*[9]TJ_kytusehinnad!$H$11/1000</f>
        <v>20968.533965014176</v>
      </c>
      <c r="T50" s="64">
        <f>SUM(M50:S50)</f>
        <v>276121.13541733305</v>
      </c>
    </row>
    <row r="51" spans="1:20">
      <c r="A51" s="38" t="s">
        <v>34</v>
      </c>
      <c r="B51" s="16" t="str">
        <f>[4]TransportB_VS!Q62</f>
        <v>TJ</v>
      </c>
      <c r="C51" s="16" t="str">
        <f>[4]TransportB_VS!R62</f>
        <v>%</v>
      </c>
      <c r="D51" s="16" t="str">
        <f>[4]TransportB_VS!S62</f>
        <v>%</v>
      </c>
      <c r="E51" s="16" t="str">
        <f>[4]TransportB_VS!T62</f>
        <v>%</v>
      </c>
      <c r="F51" s="16" t="str">
        <f>[4]TransportB_VS!U62</f>
        <v>%</v>
      </c>
      <c r="G51" s="16" t="str">
        <f>[4]TransportB_VS!V62</f>
        <v>%</v>
      </c>
      <c r="H51" s="16" t="str">
        <f>[4]TransportB_VS!X62</f>
        <v>%</v>
      </c>
      <c r="I51" s="16" t="str">
        <f>[4]TransportB_VS!Z62</f>
        <v>%</v>
      </c>
      <c r="J51" s="16" t="str">
        <f>[4]TransportB_VS!AA62</f>
        <v>%</v>
      </c>
      <c r="K51" s="63"/>
      <c r="L51" s="61" t="s">
        <v>26</v>
      </c>
      <c r="M51" s="1116"/>
      <c r="N51" s="62">
        <f>D56*[9]TJ_kytusehinnad!$H$18/1000</f>
        <v>0</v>
      </c>
      <c r="O51" s="62">
        <f>E56*[9]TJ_kytusehinnad!$H$17/1000</f>
        <v>146269.95961879982</v>
      </c>
      <c r="P51" s="62">
        <f>F56*[9]TJ_kytusehinnad!$H$23/1000</f>
        <v>2140.0818300485516</v>
      </c>
      <c r="Q51" s="62">
        <f>G56*[9]TJ_kytusehinnad!$H$21/1000</f>
        <v>0</v>
      </c>
      <c r="R51" s="62">
        <f>H56*[9]TJ_kytusehinnad!$H$20/1000</f>
        <v>7556.4963336253622</v>
      </c>
      <c r="S51" s="62">
        <f>I56*[9]TJ_kytusehinnad!$H$22/1000</f>
        <v>0</v>
      </c>
      <c r="T51" s="64">
        <f>SUM(M51:S51)</f>
        <v>155966.53778247375</v>
      </c>
    </row>
    <row r="52" spans="1:20">
      <c r="A52" s="26" t="s">
        <v>35</v>
      </c>
      <c r="B52" s="22">
        <f>[4]TransportB_VS!Q63</f>
        <v>13073.954452660244</v>
      </c>
      <c r="C52" s="23">
        <f>[4]TransportB_VS!R63</f>
        <v>0</v>
      </c>
      <c r="D52" s="23">
        <f>[4]TransportB_VS!S63</f>
        <v>0</v>
      </c>
      <c r="E52" s="23">
        <f>[4]TransportB_VS!T63</f>
        <v>0.87</v>
      </c>
      <c r="F52" s="24">
        <f>[4]TransportB_VS!U63</f>
        <v>0.03</v>
      </c>
      <c r="G52" s="23">
        <f>[4]TransportB_VS!V63</f>
        <v>0</v>
      </c>
      <c r="H52" s="23">
        <f>[4]TransportB_VS!X63</f>
        <v>0.05</v>
      </c>
      <c r="I52" s="24">
        <f>[4]TransportB_VS!Z63</f>
        <v>0.05</v>
      </c>
      <c r="J52" s="29">
        <f>[4]TransportB_VS!AA63</f>
        <v>1</v>
      </c>
      <c r="K52" s="63"/>
      <c r="L52" s="61" t="s">
        <v>28</v>
      </c>
      <c r="M52" s="1116"/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0">
        <f>SUM(M52:S52)</f>
        <v>0</v>
      </c>
    </row>
    <row r="53" spans="1:20">
      <c r="A53" s="26" t="s">
        <v>36</v>
      </c>
      <c r="B53" s="22">
        <f>[4]TransportB_VS!Q64</f>
        <v>1386.2538928338379</v>
      </c>
      <c r="C53" s="27">
        <f>[4]TransportB_VS!R64</f>
        <v>0</v>
      </c>
      <c r="D53" s="27">
        <f>[4]TransportB_VS!S64</f>
        <v>0</v>
      </c>
      <c r="E53" s="23">
        <f>[4]TransportB_VS!T64</f>
        <v>0.9</v>
      </c>
      <c r="F53" s="27">
        <f>[4]TransportB_VS!U64</f>
        <v>0</v>
      </c>
      <c r="G53" s="27">
        <f>[4]TransportB_VS!V64</f>
        <v>0</v>
      </c>
      <c r="H53" s="27">
        <f>[4]TransportB_VS!X64</f>
        <v>0.1</v>
      </c>
      <c r="I53" s="27">
        <f>[4]TransportB_VS!Z64</f>
        <v>0</v>
      </c>
      <c r="J53" s="29">
        <f>[4]TransportB_VS!AA64</f>
        <v>1</v>
      </c>
      <c r="K53" s="63"/>
      <c r="L53" s="61" t="s">
        <v>41</v>
      </c>
      <c r="M53" s="1116"/>
      <c r="N53" s="62">
        <f t="shared" ref="N53:S53" si="18">N50*0.1</f>
        <v>0</v>
      </c>
      <c r="O53" s="62">
        <f t="shared" si="18"/>
        <v>22987.684309794953</v>
      </c>
      <c r="P53" s="62">
        <f t="shared" si="18"/>
        <v>753.56122408525005</v>
      </c>
      <c r="Q53" s="62">
        <f t="shared" si="18"/>
        <v>0</v>
      </c>
      <c r="R53" s="62">
        <f t="shared" si="18"/>
        <v>1774.0146113516885</v>
      </c>
      <c r="S53" s="62">
        <f t="shared" si="18"/>
        <v>2096.8533965014176</v>
      </c>
      <c r="T53" s="60">
        <f>SUM(M53:S53)</f>
        <v>27612.11354173331</v>
      </c>
    </row>
    <row r="54" spans="1:20" ht="13.5" thickBot="1">
      <c r="A54" s="26" t="s">
        <v>37</v>
      </c>
      <c r="B54" s="22">
        <f>[4]TransportB_VS!Q65</f>
        <v>0</v>
      </c>
      <c r="C54" s="27">
        <f>[4]TransportB_VS!R65</f>
        <v>0</v>
      </c>
      <c r="D54" s="27">
        <f>[4]TransportB_VS!S65</f>
        <v>0</v>
      </c>
      <c r="E54" s="23">
        <f>[4]TransportB_VS!T65</f>
        <v>1</v>
      </c>
      <c r="F54" s="27">
        <f>[4]TransportB_VS!U65</f>
        <v>0</v>
      </c>
      <c r="G54" s="27">
        <f>[4]TransportB_VS!V65</f>
        <v>0</v>
      </c>
      <c r="H54" s="27">
        <f>[4]TransportB_VS!X65</f>
        <v>0</v>
      </c>
      <c r="I54" s="27">
        <f>[4]TransportB_VS!Z65</f>
        <v>0</v>
      </c>
      <c r="J54" s="29">
        <f>[4]TransportB_VS!AA65</f>
        <v>1</v>
      </c>
      <c r="K54" s="65"/>
      <c r="L54" s="66" t="s">
        <v>45</v>
      </c>
      <c r="M54" s="1117">
        <f>C56*[9]TJ_kytusehinnad!$H$13/1000</f>
        <v>0</v>
      </c>
      <c r="N54" s="67">
        <f t="shared" ref="N54:S54" si="19">SUM(N50:N53)</f>
        <v>0</v>
      </c>
      <c r="O54" s="67">
        <f t="shared" si="19"/>
        <v>399134.48702654435</v>
      </c>
      <c r="P54" s="67">
        <f t="shared" si="19"/>
        <v>10429.255294986302</v>
      </c>
      <c r="Q54" s="67">
        <f t="shared" si="19"/>
        <v>0</v>
      </c>
      <c r="R54" s="67">
        <f t="shared" si="19"/>
        <v>27070.657058493933</v>
      </c>
      <c r="S54" s="67">
        <f t="shared" si="19"/>
        <v>23065.387361515594</v>
      </c>
      <c r="T54" s="68">
        <f>SUM(M54:S54)</f>
        <v>459699.78674154019</v>
      </c>
    </row>
    <row r="55" spans="1:20">
      <c r="A55" s="26" t="s">
        <v>38</v>
      </c>
      <c r="B55" s="22">
        <f>[4]TransportB_VS!Q66</f>
        <v>0</v>
      </c>
      <c r="C55" s="27">
        <f>[4]TransportB_VS!R66</f>
        <v>0</v>
      </c>
      <c r="D55" s="29">
        <f>[4]TransportB_VS!S66</f>
        <v>0</v>
      </c>
      <c r="E55" s="23">
        <f>[4]TransportB_VS!T66</f>
        <v>1</v>
      </c>
      <c r="F55" s="27">
        <f>[4]TransportB_VS!U66</f>
        <v>0</v>
      </c>
      <c r="G55" s="27">
        <f>[4]TransportB_VS!V66</f>
        <v>0</v>
      </c>
      <c r="H55" s="27">
        <f>[4]TransportB_VS!X66</f>
        <v>0</v>
      </c>
      <c r="I55" s="27">
        <f>[4]TransportB_VS!Z66</f>
        <v>0</v>
      </c>
      <c r="J55" s="29">
        <f>[4]TransportB_VS!AA66</f>
        <v>1</v>
      </c>
      <c r="K55" s="69" t="s">
        <v>19</v>
      </c>
      <c r="L55" s="70"/>
      <c r="M55" s="1118"/>
      <c r="N55" s="71"/>
      <c r="O55" s="71"/>
      <c r="P55" s="71"/>
      <c r="Q55" s="71"/>
      <c r="R55" s="71"/>
      <c r="S55" s="71"/>
      <c r="T55" s="72"/>
    </row>
    <row r="56" spans="1:20" ht="13.5" thickBot="1">
      <c r="A56" s="41" t="s">
        <v>17</v>
      </c>
      <c r="B56" s="32">
        <f>[4]TransportB_VS!Q67</f>
        <v>14460.208345494082</v>
      </c>
      <c r="C56" s="32">
        <f>[4]TransportB_VS!R67</f>
        <v>0</v>
      </c>
      <c r="D56" s="32">
        <f>[4]TransportB_VS!S67</f>
        <v>0</v>
      </c>
      <c r="E56" s="32">
        <f>[4]TransportB_VS!T67</f>
        <v>12531.696334715545</v>
      </c>
      <c r="F56" s="32">
        <f>[4]TransportB_VS!U67</f>
        <v>428.0163660097104</v>
      </c>
      <c r="G56" s="32">
        <f>[4]TransportB_VS!V67</f>
        <v>0</v>
      </c>
      <c r="H56" s="32">
        <f>[4]TransportB_VS!X67</f>
        <v>787.1350347526419</v>
      </c>
      <c r="I56" s="32">
        <f>[4]TransportB_VS!Z67</f>
        <v>713.36061001618407</v>
      </c>
      <c r="J56" s="32">
        <f>[4]TransportB_VS!AA67</f>
        <v>14460.20834549408</v>
      </c>
      <c r="K56" s="57" t="s">
        <v>49</v>
      </c>
      <c r="L56" s="61" t="s">
        <v>24</v>
      </c>
      <c r="M56" s="62">
        <f t="shared" ref="M56:T56" si="20">M44+M50</f>
        <v>5703.9491598833838</v>
      </c>
      <c r="N56" s="62">
        <f t="shared" si="20"/>
        <v>238623.6732729777</v>
      </c>
      <c r="O56" s="62">
        <f t="shared" si="20"/>
        <v>348421.67734214332</v>
      </c>
      <c r="P56" s="62">
        <f t="shared" si="20"/>
        <v>11944.247378735068</v>
      </c>
      <c r="Q56" s="62">
        <f t="shared" si="20"/>
        <v>25779.191318946341</v>
      </c>
      <c r="R56" s="62">
        <f t="shared" si="20"/>
        <v>18410.700672217688</v>
      </c>
      <c r="S56" s="62">
        <f t="shared" si="20"/>
        <v>37284.018813855131</v>
      </c>
      <c r="T56" s="60">
        <f t="shared" si="20"/>
        <v>686167.45795875858</v>
      </c>
    </row>
    <row r="57" spans="1:20">
      <c r="A57" s="26"/>
      <c r="B57" s="9">
        <f>[4]TransportB_VS!Q68</f>
        <v>0</v>
      </c>
      <c r="C57" s="9" t="str">
        <f>[4]TransportB_VS!R68</f>
        <v>Electricity</v>
      </c>
      <c r="D57" s="9" t="str">
        <f>[4]TransportB_VS!S68</f>
        <v>Gasoline</v>
      </c>
      <c r="E57" s="9" t="str">
        <f>[4]TransportB_VS!T68</f>
        <v>Diesel</v>
      </c>
      <c r="F57" s="9" t="str">
        <f>[4]TransportB_VS!U68</f>
        <v>Natural gas</v>
      </c>
      <c r="G57" s="9" t="str">
        <f>[4]TransportB_VS!V68</f>
        <v>Ethanol</v>
      </c>
      <c r="H57" s="9" t="str">
        <f>[4]TransportB_VS!X68</f>
        <v>Biodiesel</v>
      </c>
      <c r="I57" s="9" t="str">
        <f>[4]TransportB_VS!Z68</f>
        <v>Biogas</v>
      </c>
      <c r="J57" s="9" t="str">
        <f>[4]TransportB_VS!AA68</f>
        <v>Total</v>
      </c>
      <c r="K57" s="63"/>
      <c r="L57" s="61" t="s">
        <v>26</v>
      </c>
      <c r="M57" s="1116">
        <f t="shared" ref="M57:T60" si="21">M45+M51</f>
        <v>237.0992634323477</v>
      </c>
      <c r="N57" s="62">
        <f t="shared" si="21"/>
        <v>142512.47702374033</v>
      </c>
      <c r="O57" s="62">
        <f t="shared" si="21"/>
        <v>221699.6892263499</v>
      </c>
      <c r="P57" s="62">
        <f t="shared" si="21"/>
        <v>3392.1154608061661</v>
      </c>
      <c r="Q57" s="62">
        <f t="shared" si="21"/>
        <v>11298.744523957412</v>
      </c>
      <c r="R57" s="62">
        <f t="shared" si="21"/>
        <v>7842.1221132494447</v>
      </c>
      <c r="S57" s="62">
        <f t="shared" si="21"/>
        <v>0</v>
      </c>
      <c r="T57" s="60">
        <f t="shared" si="21"/>
        <v>386982.2476115356</v>
      </c>
    </row>
    <row r="58" spans="1:20">
      <c r="A58" s="42"/>
      <c r="B58" s="16" t="str">
        <f>[4]TransportB_VS!Q69</f>
        <v>TJ</v>
      </c>
      <c r="C58" s="16" t="str">
        <f>[4]TransportB_VS!R69</f>
        <v>%</v>
      </c>
      <c r="D58" s="16" t="str">
        <f>[4]TransportB_VS!S69</f>
        <v>%</v>
      </c>
      <c r="E58" s="16" t="str">
        <f>[4]TransportB_VS!T69</f>
        <v>%</v>
      </c>
      <c r="F58" s="16" t="str">
        <f>[4]TransportB_VS!U69</f>
        <v>%</v>
      </c>
      <c r="G58" s="16" t="str">
        <f>[4]TransportB_VS!V69</f>
        <v>%</v>
      </c>
      <c r="H58" s="16" t="str">
        <f>[4]TransportB_VS!X69</f>
        <v>%</v>
      </c>
      <c r="I58" s="16">
        <f>[4]TransportB_VS!Z69</f>
        <v>0</v>
      </c>
      <c r="J58" s="16" t="str">
        <f>[4]TransportB_VS!AA69</f>
        <v>%</v>
      </c>
      <c r="K58" s="63"/>
      <c r="L58" s="61" t="s">
        <v>28</v>
      </c>
      <c r="M58" s="1116">
        <f t="shared" si="21"/>
        <v>891.15726349735962</v>
      </c>
      <c r="N58" s="62">
        <f t="shared" si="21"/>
        <v>60749.777643602371</v>
      </c>
      <c r="O58" s="62">
        <f t="shared" si="21"/>
        <v>30874.357091424492</v>
      </c>
      <c r="P58" s="62">
        <f t="shared" si="21"/>
        <v>915.22984236426589</v>
      </c>
      <c r="Q58" s="62">
        <f t="shared" si="21"/>
        <v>5948.3782462197578</v>
      </c>
      <c r="R58" s="62">
        <f t="shared" si="21"/>
        <v>153.48536912924504</v>
      </c>
      <c r="S58" s="62">
        <f t="shared" si="21"/>
        <v>2692.0550000587582</v>
      </c>
      <c r="T58" s="60">
        <f t="shared" si="21"/>
        <v>102224.44045629624</v>
      </c>
    </row>
    <row r="59" spans="1:20" ht="12.75" customHeight="1">
      <c r="A59" s="1158" t="s">
        <v>40</v>
      </c>
      <c r="B59" s="43">
        <f>[4]TransportB_VS!Q70</f>
        <v>35483.797365552127</v>
      </c>
      <c r="C59" s="44">
        <f>[4]TransportB_VS!R70</f>
        <v>8.3027986384790146E-3</v>
      </c>
      <c r="D59" s="44">
        <f>[4]TransportB_VS!S70</f>
        <v>0.34229422232435375</v>
      </c>
      <c r="E59" s="44">
        <f>[4]TransportB_VS!T70</f>
        <v>0.54213837653129815</v>
      </c>
      <c r="F59" s="44">
        <f>[4]TransportB_VS!U70</f>
        <v>1.8000111887697758E-2</v>
      </c>
      <c r="G59" s="45">
        <f>[4]TransportB_VS!V70</f>
        <v>3.2599449745176548E-2</v>
      </c>
      <c r="H59" s="45">
        <f>[4]TransportB_VS!X70</f>
        <v>2.283588969626995E-2</v>
      </c>
      <c r="I59" s="45">
        <f>[4]TransportB_VS!Z70</f>
        <v>3.382915117672481E-2</v>
      </c>
      <c r="J59" s="44">
        <f>[4]TransportB_VS!AA70</f>
        <v>1</v>
      </c>
      <c r="K59" s="63"/>
      <c r="L59" s="61" t="s">
        <v>41</v>
      </c>
      <c r="M59" s="1116">
        <f t="shared" si="21"/>
        <v>0</v>
      </c>
      <c r="N59" s="62">
        <f t="shared" si="21"/>
        <v>23862.367327297772</v>
      </c>
      <c r="O59" s="62">
        <f t="shared" si="21"/>
        <v>34842.16773421433</v>
      </c>
      <c r="P59" s="62">
        <f t="shared" si="21"/>
        <v>1194.4247378735067</v>
      </c>
      <c r="Q59" s="62">
        <f t="shared" si="21"/>
        <v>2577.9191318946341</v>
      </c>
      <c r="R59" s="62">
        <f t="shared" si="21"/>
        <v>1841.0700672217688</v>
      </c>
      <c r="S59" s="62">
        <f t="shared" si="21"/>
        <v>3728.4018813855137</v>
      </c>
      <c r="T59" s="60">
        <f t="shared" si="21"/>
        <v>68046.350879887526</v>
      </c>
    </row>
    <row r="60" spans="1:20" ht="13.5" thickBot="1">
      <c r="A60" s="1159"/>
      <c r="B60" s="47">
        <f>[4]TransportB_VS!Q71</f>
        <v>0</v>
      </c>
      <c r="C60" s="48">
        <f>[4]TransportB_VS!R71</f>
        <v>190.96267995517698</v>
      </c>
      <c r="D60" s="48">
        <f>[4]TransportB_VS!S71</f>
        <v>12358.001823078419</v>
      </c>
      <c r="E60" s="48">
        <f>[4]TransportB_VS!T71</f>
        <v>18994.147466273982</v>
      </c>
      <c r="F60" s="48">
        <f>[4]TransportB_VS!U71</f>
        <v>678.42309216123317</v>
      </c>
      <c r="G60" s="48">
        <f>[4]TransportB_VS!V71</f>
        <v>1176.952554578897</v>
      </c>
      <c r="H60" s="48">
        <f>[4]TransportB_VS!X71</f>
        <v>816.88772013015046</v>
      </c>
      <c r="I60" s="48">
        <f>[4]TransportB_VS!Z71</f>
        <v>1268.4220293742696</v>
      </c>
      <c r="J60" s="48">
        <f>[4]TransportB_VS!AA71</f>
        <v>35483.797365552127</v>
      </c>
      <c r="K60" s="73"/>
      <c r="L60" s="74" t="s">
        <v>32</v>
      </c>
      <c r="M60" s="75">
        <f t="shared" si="21"/>
        <v>6832.2056868130912</v>
      </c>
      <c r="N60" s="75">
        <f t="shared" si="21"/>
        <v>465748.29526761809</v>
      </c>
      <c r="O60" s="75">
        <f t="shared" si="21"/>
        <v>635837.89139413205</v>
      </c>
      <c r="P60" s="75">
        <f t="shared" si="21"/>
        <v>17446.017419779007</v>
      </c>
      <c r="Q60" s="75">
        <f t="shared" si="21"/>
        <v>45604.233221018141</v>
      </c>
      <c r="R60" s="75">
        <f t="shared" si="21"/>
        <v>28247.378221818144</v>
      </c>
      <c r="S60" s="75">
        <f t="shared" si="21"/>
        <v>43704.475695299407</v>
      </c>
      <c r="T60" s="76">
        <f t="shared" si="21"/>
        <v>1243420.496906478</v>
      </c>
    </row>
  </sheetData>
  <mergeCells count="3">
    <mergeCell ref="A19:A20"/>
    <mergeCell ref="A39:A40"/>
    <mergeCell ref="A59:A60"/>
  </mergeCells>
  <pageMargins left="0.23622047244094491" right="0.23622047244094491" top="0.15748031496062992" bottom="0.35433070866141736" header="0.11811023622047245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63"/>
  <sheetViews>
    <sheetView workbookViewId="0">
      <selection activeCell="M5" sqref="M5"/>
    </sheetView>
  </sheetViews>
  <sheetFormatPr defaultColWidth="8.85546875" defaultRowHeight="12.75"/>
  <cols>
    <col min="1" max="1" width="8.85546875" style="77"/>
    <col min="2" max="2" width="12.140625" style="77" customWidth="1"/>
    <col min="3" max="3" width="7.42578125" style="77" customWidth="1"/>
    <col min="4" max="4" width="7.7109375" style="77" customWidth="1"/>
    <col min="5" max="5" width="8.28515625" style="77" customWidth="1"/>
    <col min="6" max="6" width="7.7109375" style="77" customWidth="1"/>
    <col min="7" max="7" width="8.42578125" style="77" customWidth="1"/>
    <col min="8" max="8" width="7.85546875" style="77" customWidth="1"/>
    <col min="9" max="9" width="8.28515625" style="77" customWidth="1"/>
    <col min="10" max="10" width="8.85546875" style="77"/>
    <col min="11" max="11" width="10.7109375" style="77" customWidth="1"/>
    <col min="12" max="12" width="17" style="77" customWidth="1"/>
    <col min="13" max="13" width="16.28515625" style="77" bestFit="1" customWidth="1"/>
    <col min="14" max="14" width="12.85546875" style="77" bestFit="1" customWidth="1"/>
    <col min="15" max="15" width="13.85546875" style="77" bestFit="1" customWidth="1"/>
    <col min="16" max="16" width="9.42578125" style="77" bestFit="1" customWidth="1"/>
    <col min="17" max="18" width="9.7109375" style="77" bestFit="1" customWidth="1"/>
    <col min="19" max="19" width="9.42578125" style="77" bestFit="1" customWidth="1"/>
    <col min="20" max="20" width="10.42578125" style="77" bestFit="1" customWidth="1"/>
    <col min="21" max="16384" width="8.85546875" style="77"/>
  </cols>
  <sheetData>
    <row r="1" spans="1:20" ht="13.5" thickBot="1"/>
    <row r="2" spans="1:20" ht="13.5" thickBot="1">
      <c r="K2" s="78" t="s">
        <v>50</v>
      </c>
      <c r="L2" s="79"/>
      <c r="M2" s="79"/>
      <c r="N2" s="80"/>
      <c r="O2" s="80"/>
      <c r="P2" s="80"/>
      <c r="Q2" s="80"/>
      <c r="R2" s="80"/>
      <c r="S2" s="80"/>
      <c r="T2" s="81"/>
    </row>
    <row r="3" spans="1:20" ht="20.25">
      <c r="A3" s="55" t="s">
        <v>1</v>
      </c>
      <c r="B3" s="3"/>
      <c r="C3" s="3"/>
      <c r="D3" s="3"/>
      <c r="E3" s="3"/>
      <c r="F3" s="3"/>
      <c r="G3" s="3"/>
      <c r="H3" s="3"/>
      <c r="I3" s="3"/>
      <c r="J3" s="3"/>
      <c r="K3" s="82"/>
      <c r="L3" s="83" t="s">
        <v>3</v>
      </c>
      <c r="M3" s="84"/>
      <c r="N3" s="84"/>
      <c r="O3" s="84"/>
      <c r="P3" s="84"/>
      <c r="Q3" s="84"/>
      <c r="R3" s="84"/>
      <c r="S3" s="84"/>
      <c r="T3" s="85"/>
    </row>
    <row r="4" spans="1:20">
      <c r="A4" s="8" t="str">
        <f>Reference_name</f>
        <v>BAU30</v>
      </c>
      <c r="B4" s="9"/>
      <c r="C4" s="9" t="s">
        <v>11</v>
      </c>
      <c r="D4" s="9" t="s">
        <v>12</v>
      </c>
      <c r="E4" s="9" t="s">
        <v>13</v>
      </c>
      <c r="F4" s="9" t="s">
        <v>7</v>
      </c>
      <c r="G4" s="9" t="s">
        <v>14</v>
      </c>
      <c r="H4" s="9" t="s">
        <v>15</v>
      </c>
      <c r="I4" s="9" t="s">
        <v>16</v>
      </c>
      <c r="J4" s="9" t="s">
        <v>17</v>
      </c>
      <c r="K4" s="82"/>
      <c r="L4" s="84"/>
      <c r="M4" s="86" t="s">
        <v>11</v>
      </c>
      <c r="N4" s="86" t="s">
        <v>12</v>
      </c>
      <c r="O4" s="86" t="s">
        <v>13</v>
      </c>
      <c r="P4" s="86" t="s">
        <v>7</v>
      </c>
      <c r="Q4" s="86" t="s">
        <v>18</v>
      </c>
      <c r="R4" s="86" t="s">
        <v>15</v>
      </c>
      <c r="S4" s="86" t="s">
        <v>16</v>
      </c>
      <c r="T4" s="87" t="s">
        <v>19</v>
      </c>
    </row>
    <row r="5" spans="1:20">
      <c r="A5" s="15" t="s">
        <v>20</v>
      </c>
      <c r="B5" s="16" t="s">
        <v>21</v>
      </c>
      <c r="C5" s="16" t="s">
        <v>22</v>
      </c>
      <c r="D5" s="16" t="s">
        <v>22</v>
      </c>
      <c r="E5" s="16" t="s">
        <v>22</v>
      </c>
      <c r="F5" s="16" t="s">
        <v>22</v>
      </c>
      <c r="G5" s="16" t="s">
        <v>22</v>
      </c>
      <c r="H5" s="16" t="s">
        <v>22</v>
      </c>
      <c r="I5" s="16" t="s">
        <v>22</v>
      </c>
      <c r="J5" s="16" t="s">
        <v>22</v>
      </c>
      <c r="K5" s="88" t="s">
        <v>23</v>
      </c>
      <c r="L5" s="86" t="s">
        <v>24</v>
      </c>
      <c r="M5" s="1110">
        <f>C10*TJ_kytusehinnad!$J$13/1000</f>
        <v>9446.0271289991124</v>
      </c>
      <c r="N5" s="89">
        <f>D10*[9]TJ_kytusehinnad!$J$8/1000</f>
        <v>301310.89182736736</v>
      </c>
      <c r="O5" s="89">
        <f>E10*[9]TJ_kytusehinnad!$J$7/1000</f>
        <v>151816.28713196624</v>
      </c>
      <c r="P5" s="89">
        <f>F10*[9]TJ_kytusehinnad!$J$12/1000</f>
        <v>15253.787432782328</v>
      </c>
      <c r="Q5" s="89">
        <f>G10*[9]TJ_kytusehinnad!$J$10/1000</f>
        <v>28482.535461862775</v>
      </c>
      <c r="R5" s="89">
        <f>H10*[9]TJ_kytusehinnad!$J$9/1000</f>
        <v>25554.930784102027</v>
      </c>
      <c r="S5" s="89">
        <f>I10*[9]TJ_kytusehinnad!$J$11/1000</f>
        <v>0</v>
      </c>
      <c r="T5" s="90">
        <f>SUM(M5:S5)</f>
        <v>531864.45976707991</v>
      </c>
    </row>
    <row r="6" spans="1:20">
      <c r="A6" s="21" t="s">
        <v>25</v>
      </c>
      <c r="B6" s="22">
        <f>[3]Transport30B_EE!C56</f>
        <v>23842.671263150874</v>
      </c>
      <c r="C6" s="29">
        <f>[3]Transport30B_EE!D56</f>
        <v>0.01</v>
      </c>
      <c r="D6" s="29">
        <f>[3]Transport30B_EE!E56</f>
        <v>0.6</v>
      </c>
      <c r="E6" s="29">
        <f>[3]Transport30B_EE!F56</f>
        <v>0.27</v>
      </c>
      <c r="F6" s="29">
        <f>[3]Transport30B_EE!G56</f>
        <v>0.03</v>
      </c>
      <c r="G6" s="29">
        <f>[3]Transport30B_EE!H56</f>
        <v>0.05</v>
      </c>
      <c r="H6" s="29">
        <f>[3]Transport30B_EE!J56</f>
        <v>0.04</v>
      </c>
      <c r="I6" s="29">
        <f>[3]Transport30B_EE!L56</f>
        <v>0</v>
      </c>
      <c r="J6" s="29">
        <f>[3]Transport30B_EE!M56</f>
        <v>1</v>
      </c>
      <c r="K6" s="82"/>
      <c r="L6" s="86" t="s">
        <v>26</v>
      </c>
      <c r="M6" s="1110">
        <f>C10*TJ_kytusehinnad!$J$24/1000</f>
        <v>392.64832344569021</v>
      </c>
      <c r="N6" s="89">
        <f>D10*[9]TJ_kytusehinnad!$J$18/1000</f>
        <v>168053.38551232457</v>
      </c>
      <c r="O6" s="89">
        <f>E10*[9]TJ_kytusehinnad!$J$17/1000</f>
        <v>90213.463419562162</v>
      </c>
      <c r="P6" s="89">
        <f>F10*[9]TJ_kytusehinnad!$J$23/1000</f>
        <v>8985.787786416473</v>
      </c>
      <c r="Q6" s="89">
        <f>G10*[9]TJ_kytusehinnad!$J$21/1000</f>
        <v>11658.230004323592</v>
      </c>
      <c r="R6" s="89">
        <f>H10*[9]TJ_kytusehinnad!$J$20/1000</f>
        <v>9887.1106901147523</v>
      </c>
      <c r="S6" s="89">
        <f>I10*[9]TJ_kytusehinnad!$J$22/1000</f>
        <v>0</v>
      </c>
      <c r="T6" s="90">
        <f t="shared" ref="T6:T21" si="0">SUM(M6:S6)</f>
        <v>289190.62573618721</v>
      </c>
    </row>
    <row r="7" spans="1:20">
      <c r="A7" s="26" t="s">
        <v>27</v>
      </c>
      <c r="B7" s="22">
        <f>[3]Transport30B_EE!C57</f>
        <v>1053.4660729038997</v>
      </c>
      <c r="C7" s="29">
        <f>[3]Transport30B_EE!D57</f>
        <v>0.05</v>
      </c>
      <c r="D7" s="29">
        <f>[3]Transport30B_EE!E57</f>
        <v>0</v>
      </c>
      <c r="E7" s="29">
        <f>[3]Transport30B_EE!F57</f>
        <v>0.77999999999999992</v>
      </c>
      <c r="F7" s="29">
        <f>[3]Transport30B_EE!G57</f>
        <v>0.1</v>
      </c>
      <c r="G7" s="29">
        <f>[3]Transport30B_EE!H57</f>
        <v>0</v>
      </c>
      <c r="H7" s="29">
        <f>[3]Transport30B_EE!J57</f>
        <v>7.0000000000000007E-2</v>
      </c>
      <c r="I7" s="29">
        <f>[3]Transport30B_EE!L57</f>
        <v>0</v>
      </c>
      <c r="J7" s="29">
        <f>[3]Transport30B_EE!M57</f>
        <v>1</v>
      </c>
      <c r="K7" s="82"/>
      <c r="L7" s="86" t="s">
        <v>28</v>
      </c>
      <c r="M7" s="1111">
        <f>SUM(M5:M6,M8)*0.75*0.2</f>
        <v>1475.8013178667204</v>
      </c>
      <c r="N7" s="89">
        <f t="shared" ref="N7:S7" si="1">SUM(N5:N6,N8)*0.75*0.2</f>
        <v>74924.304978364307</v>
      </c>
      <c r="O7" s="89">
        <f t="shared" si="1"/>
        <v>38581.706889708752</v>
      </c>
      <c r="P7" s="89">
        <f t="shared" si="1"/>
        <v>3864.7430943715549</v>
      </c>
      <c r="Q7" s="89">
        <f t="shared" si="1"/>
        <v>6448.352851855896</v>
      </c>
      <c r="R7" s="89">
        <f t="shared" si="1"/>
        <v>5699.6301828940477</v>
      </c>
      <c r="S7" s="89">
        <f t="shared" si="1"/>
        <v>0</v>
      </c>
      <c r="T7" s="90">
        <f t="shared" si="0"/>
        <v>130994.53931506128</v>
      </c>
    </row>
    <row r="8" spans="1:20">
      <c r="A8" s="26" t="s">
        <v>29</v>
      </c>
      <c r="B8" s="22">
        <f>[3]Transport30B_EE!C58</f>
        <v>438.0009191313988</v>
      </c>
      <c r="C8" s="29">
        <f>[3]Transport30B_EE!D58</f>
        <v>0.75</v>
      </c>
      <c r="D8" s="29">
        <f>[3]Transport30B_EE!E58</f>
        <v>0</v>
      </c>
      <c r="E8" s="29">
        <f>[3]Transport30B_EE!F58</f>
        <v>0.22999999999999998</v>
      </c>
      <c r="F8" s="29">
        <f>[3]Transport30B_EE!G58</f>
        <v>0</v>
      </c>
      <c r="G8" s="29">
        <f>[3]Transport30B_EE!H58</f>
        <v>0</v>
      </c>
      <c r="H8" s="29">
        <f>[3]Transport30B_EE!J58</f>
        <v>0.02</v>
      </c>
      <c r="I8" s="29">
        <f>[3]Transport30B_EE!L58</f>
        <v>0</v>
      </c>
      <c r="J8" s="29">
        <f>[3]Transport30B_EE!M58</f>
        <v>1</v>
      </c>
      <c r="K8" s="82"/>
      <c r="L8" s="86" t="s">
        <v>41</v>
      </c>
      <c r="M8" s="1111"/>
      <c r="N8" s="89">
        <f t="shared" ref="N8:S8" si="2">N5*0.1</f>
        <v>30131.089182736738</v>
      </c>
      <c r="O8" s="89">
        <f t="shared" si="2"/>
        <v>15181.628713196624</v>
      </c>
      <c r="P8" s="89">
        <f t="shared" si="2"/>
        <v>1525.3787432782328</v>
      </c>
      <c r="Q8" s="89">
        <f t="shared" si="2"/>
        <v>2848.2535461862776</v>
      </c>
      <c r="R8" s="89">
        <f t="shared" si="2"/>
        <v>2555.493078410203</v>
      </c>
      <c r="S8" s="89">
        <f t="shared" si="2"/>
        <v>0</v>
      </c>
      <c r="T8" s="90">
        <f t="shared" si="0"/>
        <v>52241.843263808078</v>
      </c>
    </row>
    <row r="9" spans="1:20">
      <c r="A9" s="28" t="s">
        <v>31</v>
      </c>
      <c r="B9" s="22">
        <f>[3]Transport30B_EE!C59</f>
        <v>366.47516151731935</v>
      </c>
      <c r="C9" s="29">
        <f>[3]Transport30B_EE!D59</f>
        <v>0</v>
      </c>
      <c r="D9" s="29">
        <f>[3]Transport30B_EE!E59</f>
        <v>0</v>
      </c>
      <c r="E9" s="29">
        <f>[3]Transport30B_EE!F59</f>
        <v>1</v>
      </c>
      <c r="F9" s="29">
        <f>[3]Transport30B_EE!G59</f>
        <v>0</v>
      </c>
      <c r="G9" s="29">
        <f>[3]Transport30B_EE!H59</f>
        <v>0</v>
      </c>
      <c r="H9" s="29">
        <f>[3]Transport30B_EE!J59</f>
        <v>0</v>
      </c>
      <c r="I9" s="29">
        <f>[3]Transport30B_EE!L59</f>
        <v>0</v>
      </c>
      <c r="J9" s="29">
        <f>[3]Transport30B_EE!M59</f>
        <v>1</v>
      </c>
      <c r="K9" s="82"/>
      <c r="L9" s="86" t="s">
        <v>44</v>
      </c>
      <c r="M9" s="19">
        <f>SUM(M5:M8)</f>
        <v>11314.476770311523</v>
      </c>
      <c r="N9" s="89">
        <f t="shared" ref="N9:S9" si="3">SUM(N5:N8)</f>
        <v>574419.67150079296</v>
      </c>
      <c r="O9" s="89">
        <f t="shared" si="3"/>
        <v>295793.08615443378</v>
      </c>
      <c r="P9" s="89">
        <f t="shared" si="3"/>
        <v>29629.697056848589</v>
      </c>
      <c r="Q9" s="89">
        <f t="shared" si="3"/>
        <v>49437.371864228538</v>
      </c>
      <c r="R9" s="89">
        <f t="shared" si="3"/>
        <v>43697.16473552103</v>
      </c>
      <c r="S9" s="89">
        <f t="shared" si="3"/>
        <v>0</v>
      </c>
      <c r="T9" s="90">
        <f t="shared" si="0"/>
        <v>1004291.4680821364</v>
      </c>
    </row>
    <row r="10" spans="1:20" ht="13.5" thickBot="1">
      <c r="A10" s="31" t="s">
        <v>17</v>
      </c>
      <c r="B10" s="22">
        <f>[3]Transport30B_EE!C60</f>
        <v>25700.613416703491</v>
      </c>
      <c r="C10" s="22">
        <f>[3]Transport30B_EE!D60</f>
        <v>316.24381720819122</v>
      </c>
      <c r="D10" s="22">
        <f>[3]Transport30B_EE!E60</f>
        <v>14572.787505404489</v>
      </c>
      <c r="E10" s="22">
        <f>[3]Transport30B_EE!F60</f>
        <v>7729.049299140007</v>
      </c>
      <c r="F10" s="22">
        <f>[3]Transport30B_EE!G60</f>
        <v>838.22647261347697</v>
      </c>
      <c r="G10" s="22">
        <f>[3]Transport30B_EE!H60</f>
        <v>1214.3989587837075</v>
      </c>
      <c r="H10" s="22">
        <f>[3]Transport30B_EE!J60</f>
        <v>1029.9073635536199</v>
      </c>
      <c r="I10" s="22">
        <f>[3]Transport30B_EE!L60</f>
        <v>0</v>
      </c>
      <c r="J10" s="22">
        <f>[3]Transport30B_EE!M60</f>
        <v>25700.613416703491</v>
      </c>
      <c r="K10" s="82"/>
      <c r="L10" s="86"/>
      <c r="M10" s="1111"/>
      <c r="N10" s="89"/>
      <c r="O10" s="84"/>
      <c r="P10" s="84"/>
      <c r="Q10" s="84"/>
      <c r="R10" s="84"/>
      <c r="S10" s="84"/>
      <c r="T10" s="85"/>
    </row>
    <row r="11" spans="1:20">
      <c r="A11" s="35"/>
      <c r="B11" s="22">
        <f>[3]Transport30B_EE!C61</f>
        <v>0</v>
      </c>
      <c r="C11" s="22" t="str">
        <f>[3]Transport30B_EE!D61</f>
        <v>Electricity</v>
      </c>
      <c r="D11" s="22" t="str">
        <f>[3]Transport30B_EE!E61</f>
        <v>Gasoline</v>
      </c>
      <c r="E11" s="22" t="str">
        <f>[3]Transport30B_EE!F61</f>
        <v>Diesel</v>
      </c>
      <c r="F11" s="22" t="str">
        <f>[3]Transport30B_EE!G61</f>
        <v>Natural gas</v>
      </c>
      <c r="G11" s="22" t="str">
        <f>[3]Transport30B_EE!H61</f>
        <v>Ethanol</v>
      </c>
      <c r="H11" s="22" t="str">
        <f>[3]Transport30B_EE!J61</f>
        <v>Biodiesel</v>
      </c>
      <c r="I11" s="22" t="str">
        <f>[3]Transport30B_EE!L61</f>
        <v>Biogas</v>
      </c>
      <c r="J11" s="22" t="str">
        <f>[3]Transport30B_EE!M61</f>
        <v>Total</v>
      </c>
      <c r="K11" s="88" t="s">
        <v>33</v>
      </c>
      <c r="L11" s="86" t="s">
        <v>24</v>
      </c>
      <c r="M11" s="1110">
        <f>C17*TJ_kytusehinnad!$J$13/1000</f>
        <v>2154.1933081398302</v>
      </c>
      <c r="N11" s="89">
        <f>D17*[9]TJ_kytusehinnad!$J$8/1000</f>
        <v>0</v>
      </c>
      <c r="O11" s="89">
        <f>E17*[9]TJ_kytusehinnad!$J$7/1000</f>
        <v>380827.50720944034</v>
      </c>
      <c r="P11" s="89">
        <f>F17*[9]TJ_kytusehinnad!$J$12/1000</f>
        <v>12548.173831920973</v>
      </c>
      <c r="Q11" s="89">
        <f>G17*[9]TJ_kytusehinnad!$J$10/1000</f>
        <v>0</v>
      </c>
      <c r="R11" s="89">
        <f>H17*[9]TJ_kytusehinnad!$J$9/1000</f>
        <v>49996.258537635855</v>
      </c>
      <c r="S11" s="89">
        <f>I17*[9]TJ_kytusehinnad!$J$11/1000</f>
        <v>0</v>
      </c>
      <c r="T11" s="90">
        <f t="shared" si="0"/>
        <v>445526.13288713695</v>
      </c>
    </row>
    <row r="12" spans="1:20">
      <c r="A12" s="38" t="s">
        <v>34</v>
      </c>
      <c r="B12" s="22" t="str">
        <f>[3]Transport30B_EE!C62</f>
        <v>TJ</v>
      </c>
      <c r="C12" s="22" t="str">
        <f>[3]Transport30B_EE!D62</f>
        <v>%</v>
      </c>
      <c r="D12" s="22" t="str">
        <f>[3]Transport30B_EE!E62</f>
        <v>%</v>
      </c>
      <c r="E12" s="22" t="str">
        <f>[3]Transport30B_EE!F62</f>
        <v>%</v>
      </c>
      <c r="F12" s="22" t="str">
        <f>[3]Transport30B_EE!G62</f>
        <v>%</v>
      </c>
      <c r="G12" s="22" t="str">
        <f>[3]Transport30B_EE!H62</f>
        <v>%</v>
      </c>
      <c r="H12" s="22" t="str">
        <f>[3]Transport30B_EE!J62</f>
        <v>%</v>
      </c>
      <c r="I12" s="22" t="str">
        <f>[3]Transport30B_EE!L62</f>
        <v>%</v>
      </c>
      <c r="J12" s="22" t="str">
        <f>[3]Transport30B_EE!M62</f>
        <v>%</v>
      </c>
      <c r="K12" s="82"/>
      <c r="L12" s="86" t="s">
        <v>26</v>
      </c>
      <c r="M12" s="1110">
        <f>C17*TJ_kytusehinnad!$J$24/1000</f>
        <v>89.544565060830337</v>
      </c>
      <c r="N12" s="89">
        <f>D17*[9]TJ_kytusehinnad!$J$18/1000</f>
        <v>0</v>
      </c>
      <c r="O12" s="89">
        <f>E17*[9]TJ_kytusehinnad!$J$17/1000</f>
        <v>226298.3046143011</v>
      </c>
      <c r="P12" s="89">
        <f>F17*[9]TJ_kytusehinnad!$J$23/1000</f>
        <v>7391.9495507313113</v>
      </c>
      <c r="Q12" s="89">
        <f>G17*[9]TJ_kytusehinnad!$J$21/1000</f>
        <v>0</v>
      </c>
      <c r="R12" s="89">
        <f>H17*[9]TJ_kytusehinnad!$J$20/1000</f>
        <v>19343.372378089975</v>
      </c>
      <c r="S12" s="89">
        <f>I17*[9]TJ_kytusehinnad!$J$22/1000</f>
        <v>0</v>
      </c>
      <c r="T12" s="90">
        <f t="shared" si="0"/>
        <v>253123.17110818322</v>
      </c>
    </row>
    <row r="13" spans="1:20">
      <c r="A13" s="26" t="s">
        <v>35</v>
      </c>
      <c r="B13" s="22">
        <f>[3]Transport30B_EE!C63</f>
        <v>20821.232421329951</v>
      </c>
      <c r="C13" s="29">
        <f>[3]Transport30B_EE!D63</f>
        <v>0.01</v>
      </c>
      <c r="D13" s="29">
        <f>[3]Transport30B_EE!E63</f>
        <v>0</v>
      </c>
      <c r="E13" s="29">
        <f>[3]Transport30B_EE!F63</f>
        <v>0.87</v>
      </c>
      <c r="F13" s="29">
        <f>[3]Transport30B_EE!G63</f>
        <v>0.03</v>
      </c>
      <c r="G13" s="29">
        <f>[3]Transport30B_EE!H63</f>
        <v>0</v>
      </c>
      <c r="H13" s="29">
        <f>[3]Transport30B_EE!J63</f>
        <v>0.09</v>
      </c>
      <c r="I13" s="29">
        <f>[3]Transport30B_EE!L63</f>
        <v>0</v>
      </c>
      <c r="J13" s="29">
        <f>[3]Transport30B_EE!M63</f>
        <v>1</v>
      </c>
      <c r="K13" s="82"/>
      <c r="L13" s="86" t="s">
        <v>28</v>
      </c>
      <c r="M13" s="1111"/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90">
        <f t="shared" si="0"/>
        <v>0</v>
      </c>
    </row>
    <row r="14" spans="1:20">
      <c r="A14" s="26" t="s">
        <v>36</v>
      </c>
      <c r="B14" s="22">
        <f>[3]Transport30B_EE!C64</f>
        <v>1343.5044257914299</v>
      </c>
      <c r="C14" s="29">
        <f>[3]Transport30B_EE!D64</f>
        <v>0</v>
      </c>
      <c r="D14" s="29">
        <f>[3]Transport30B_EE!E64</f>
        <v>0</v>
      </c>
      <c r="E14" s="29">
        <f>[3]Transport30B_EE!F64</f>
        <v>0.9</v>
      </c>
      <c r="F14" s="29">
        <f>[3]Transport30B_EE!G64</f>
        <v>0</v>
      </c>
      <c r="G14" s="29">
        <f>[3]Transport30B_EE!H64</f>
        <v>0</v>
      </c>
      <c r="H14" s="29">
        <f>[3]Transport30B_EE!J64</f>
        <v>0.1</v>
      </c>
      <c r="I14" s="29">
        <f>[3]Transport30B_EE!L64</f>
        <v>0</v>
      </c>
      <c r="J14" s="29">
        <f>[3]Transport30B_EE!M64</f>
        <v>1</v>
      </c>
      <c r="K14" s="82"/>
      <c r="L14" s="86" t="s">
        <v>41</v>
      </c>
      <c r="M14" s="1111"/>
      <c r="N14" s="89">
        <f t="shared" ref="N14:S14" si="4">N11*0.1</f>
        <v>0</v>
      </c>
      <c r="O14" s="89">
        <f t="shared" si="4"/>
        <v>38082.750720944037</v>
      </c>
      <c r="P14" s="89">
        <f t="shared" si="4"/>
        <v>1254.8173831920974</v>
      </c>
      <c r="Q14" s="89">
        <f t="shared" si="4"/>
        <v>0</v>
      </c>
      <c r="R14" s="89">
        <f t="shared" si="4"/>
        <v>4999.6258537635858</v>
      </c>
      <c r="S14" s="89">
        <f t="shared" si="4"/>
        <v>0</v>
      </c>
      <c r="T14" s="90">
        <f t="shared" si="0"/>
        <v>44337.193957899719</v>
      </c>
    </row>
    <row r="15" spans="1:20" ht="13.5" thickBot="1">
      <c r="A15" s="26" t="s">
        <v>37</v>
      </c>
      <c r="B15" s="22">
        <f>[3]Transport30B_EE!C65</f>
        <v>0</v>
      </c>
      <c r="C15" s="29">
        <f>[3]Transport30B_EE!D65</f>
        <v>0</v>
      </c>
      <c r="D15" s="29">
        <f>[3]Transport30B_EE!E65</f>
        <v>0</v>
      </c>
      <c r="E15" s="29">
        <f>[3]Transport30B_EE!F65</f>
        <v>1</v>
      </c>
      <c r="F15" s="29">
        <f>[3]Transport30B_EE!G65</f>
        <v>0</v>
      </c>
      <c r="G15" s="29">
        <f>[3]Transport30B_EE!H65</f>
        <v>0</v>
      </c>
      <c r="H15" s="29">
        <f>[3]Transport30B_EE!J65</f>
        <v>0</v>
      </c>
      <c r="I15" s="29">
        <f>[3]Transport30B_EE!L65</f>
        <v>0</v>
      </c>
      <c r="J15" s="29">
        <f>[3]Transport30B_EE!M65</f>
        <v>1</v>
      </c>
      <c r="K15" s="82"/>
      <c r="L15" s="86" t="s">
        <v>45</v>
      </c>
      <c r="M15" s="89">
        <f t="shared" ref="M15:S15" si="5">SUM(M11:M14)</f>
        <v>2243.7378732006605</v>
      </c>
      <c r="N15" s="89">
        <f t="shared" si="5"/>
        <v>0</v>
      </c>
      <c r="O15" s="89">
        <f t="shared" si="5"/>
        <v>645208.56254468544</v>
      </c>
      <c r="P15" s="89">
        <f t="shared" si="5"/>
        <v>21194.940765844382</v>
      </c>
      <c r="Q15" s="89">
        <f t="shared" si="5"/>
        <v>0</v>
      </c>
      <c r="R15" s="89">
        <f t="shared" si="5"/>
        <v>74339.256769489424</v>
      </c>
      <c r="S15" s="89">
        <f t="shared" si="5"/>
        <v>0</v>
      </c>
      <c r="T15" s="90">
        <f t="shared" si="0"/>
        <v>742986.49795321992</v>
      </c>
    </row>
    <row r="16" spans="1:20">
      <c r="A16" s="26" t="s">
        <v>38</v>
      </c>
      <c r="B16" s="22">
        <f>[3]Transport30B_EE!C66</f>
        <v>0</v>
      </c>
      <c r="C16" s="29">
        <f>[3]Transport30B_EE!D66</f>
        <v>0</v>
      </c>
      <c r="D16" s="29">
        <f>[3]Transport30B_EE!E66</f>
        <v>0</v>
      </c>
      <c r="E16" s="29">
        <f>[3]Transport30B_EE!F66</f>
        <v>1</v>
      </c>
      <c r="F16" s="29">
        <f>[3]Transport30B_EE!G66</f>
        <v>0</v>
      </c>
      <c r="G16" s="29">
        <f>[3]Transport30B_EE!H66</f>
        <v>0</v>
      </c>
      <c r="H16" s="29">
        <f>[3]Transport30B_EE!J66</f>
        <v>0</v>
      </c>
      <c r="I16" s="29">
        <f>[3]Transport30B_EE!L66</f>
        <v>0</v>
      </c>
      <c r="J16" s="29">
        <f>[3]Transport30B_EE!M66</f>
        <v>1</v>
      </c>
      <c r="K16" s="78" t="s">
        <v>19</v>
      </c>
      <c r="L16" s="79"/>
      <c r="M16" s="1112"/>
      <c r="N16" s="80"/>
      <c r="O16" s="80"/>
      <c r="P16" s="80"/>
      <c r="Q16" s="80"/>
      <c r="R16" s="80"/>
      <c r="S16" s="80"/>
      <c r="T16" s="81"/>
    </row>
    <row r="17" spans="1:20" ht="13.5" thickBot="1">
      <c r="A17" s="41" t="s">
        <v>17</v>
      </c>
      <c r="B17" s="22">
        <f>[3]Transport30B_EE!C67</f>
        <v>22164.736847121381</v>
      </c>
      <c r="C17" s="22">
        <f>[3]Transport30B_EE!D67</f>
        <v>72.120300467807951</v>
      </c>
      <c r="D17" s="22">
        <f>[3]Transport30B_EE!E67</f>
        <v>0</v>
      </c>
      <c r="E17" s="22">
        <f>[3]Transport30B_EE!F67</f>
        <v>19388.134391218395</v>
      </c>
      <c r="F17" s="22">
        <f>[3]Transport30B_EE!G67</f>
        <v>689.54753271747313</v>
      </c>
      <c r="G17" s="22">
        <f>[3]Transport30B_EE!H67</f>
        <v>0</v>
      </c>
      <c r="H17" s="22">
        <f>[3]Transport30B_EE!J67</f>
        <v>2014.9346227177059</v>
      </c>
      <c r="I17" s="22">
        <f>[3]Transport30B_EE!L67</f>
        <v>0</v>
      </c>
      <c r="J17" s="22">
        <f>[3]Transport30B_EE!M67</f>
        <v>22164.736847121378</v>
      </c>
      <c r="K17" s="88" t="s">
        <v>51</v>
      </c>
      <c r="L17" s="86" t="s">
        <v>24</v>
      </c>
      <c r="M17" s="1111">
        <f>M5+M11</f>
        <v>11600.220437138942</v>
      </c>
      <c r="N17" s="89">
        <f t="shared" ref="N17:S17" si="6">N5+N11</f>
        <v>301310.89182736736</v>
      </c>
      <c r="O17" s="89">
        <f t="shared" si="6"/>
        <v>532643.79434140655</v>
      </c>
      <c r="P17" s="89">
        <f t="shared" si="6"/>
        <v>27801.961264703299</v>
      </c>
      <c r="Q17" s="89">
        <f t="shared" si="6"/>
        <v>28482.535461862775</v>
      </c>
      <c r="R17" s="89">
        <f t="shared" si="6"/>
        <v>75551.189321737882</v>
      </c>
      <c r="S17" s="89">
        <f t="shared" si="6"/>
        <v>0</v>
      </c>
      <c r="T17" s="90">
        <f t="shared" si="0"/>
        <v>977390.5926542168</v>
      </c>
    </row>
    <row r="18" spans="1:20">
      <c r="A18" s="26"/>
      <c r="B18" s="22">
        <f>[3]Transport30B_EE!C68</f>
        <v>0</v>
      </c>
      <c r="C18" s="22" t="str">
        <f>[3]Transport30B_EE!D68</f>
        <v>Electricity</v>
      </c>
      <c r="D18" s="22" t="str">
        <f>[3]Transport30B_EE!E68</f>
        <v>Gasoline</v>
      </c>
      <c r="E18" s="22" t="str">
        <f>[3]Transport30B_EE!F68</f>
        <v>Diesel</v>
      </c>
      <c r="F18" s="22" t="str">
        <f>[3]Transport30B_EE!G68</f>
        <v>Natural gas</v>
      </c>
      <c r="G18" s="22" t="str">
        <f>[3]Transport30B_EE!H68</f>
        <v>Ethanol</v>
      </c>
      <c r="H18" s="22" t="str">
        <f>[3]Transport30B_EE!J68</f>
        <v>Biodiesel</v>
      </c>
      <c r="I18" s="22" t="str">
        <f>[3]Transport30B_EE!L68</f>
        <v>Biogas</v>
      </c>
      <c r="J18" s="22" t="str">
        <f>[3]Transport30B_EE!M68</f>
        <v>Total</v>
      </c>
      <c r="K18" s="82"/>
      <c r="L18" s="86" t="s">
        <v>26</v>
      </c>
      <c r="M18" s="1111">
        <f>M6+M12</f>
        <v>482.19288850652055</v>
      </c>
      <c r="N18" s="89">
        <f t="shared" ref="N18:S21" si="7">N6+N12</f>
        <v>168053.38551232457</v>
      </c>
      <c r="O18" s="89">
        <f t="shared" si="7"/>
        <v>316511.76803386328</v>
      </c>
      <c r="P18" s="89">
        <f t="shared" si="7"/>
        <v>16377.737337147784</v>
      </c>
      <c r="Q18" s="89">
        <f t="shared" si="7"/>
        <v>11658.230004323592</v>
      </c>
      <c r="R18" s="89">
        <f t="shared" si="7"/>
        <v>29230.483068204725</v>
      </c>
      <c r="S18" s="89">
        <f t="shared" si="7"/>
        <v>0</v>
      </c>
      <c r="T18" s="90">
        <f t="shared" si="0"/>
        <v>542313.79684437043</v>
      </c>
    </row>
    <row r="19" spans="1:20">
      <c r="A19" s="42"/>
      <c r="B19" s="22" t="str">
        <f>[3]Transport30B_EE!C69</f>
        <v>TJ</v>
      </c>
      <c r="C19" s="22" t="str">
        <f>[3]Transport30B_EE!D69</f>
        <v>%</v>
      </c>
      <c r="D19" s="22" t="str">
        <f>[3]Transport30B_EE!E69</f>
        <v>%</v>
      </c>
      <c r="E19" s="22" t="str">
        <f>[3]Transport30B_EE!F69</f>
        <v>%</v>
      </c>
      <c r="F19" s="22" t="str">
        <f>[3]Transport30B_EE!G69</f>
        <v>%</v>
      </c>
      <c r="G19" s="22" t="str">
        <f>[3]Transport30B_EE!H69</f>
        <v>%</v>
      </c>
      <c r="H19" s="22" t="str">
        <f>[3]Transport30B_EE!J69</f>
        <v>%</v>
      </c>
      <c r="I19" s="22">
        <f>[3]Transport30B_EE!L69</f>
        <v>0</v>
      </c>
      <c r="J19" s="22" t="str">
        <f>[3]Transport30B_EE!M69</f>
        <v>%</v>
      </c>
      <c r="K19" s="82"/>
      <c r="L19" s="86" t="s">
        <v>28</v>
      </c>
      <c r="M19" s="1111">
        <f>M7+M13</f>
        <v>1475.8013178667204</v>
      </c>
      <c r="N19" s="89">
        <f t="shared" si="7"/>
        <v>74924.304978364307</v>
      </c>
      <c r="O19" s="89">
        <f t="shared" si="7"/>
        <v>38581.706889708752</v>
      </c>
      <c r="P19" s="89">
        <f t="shared" si="7"/>
        <v>3864.7430943715549</v>
      </c>
      <c r="Q19" s="89">
        <f t="shared" si="7"/>
        <v>6448.352851855896</v>
      </c>
      <c r="R19" s="89">
        <f t="shared" si="7"/>
        <v>5699.6301828940477</v>
      </c>
      <c r="S19" s="89">
        <f t="shared" si="7"/>
        <v>0</v>
      </c>
      <c r="T19" s="90">
        <f t="shared" si="0"/>
        <v>130994.53931506128</v>
      </c>
    </row>
    <row r="20" spans="1:20">
      <c r="A20" s="1160" t="s">
        <v>40</v>
      </c>
      <c r="B20" s="91">
        <f>[3]Transport30B_EE!C70</f>
        <v>47865.350263824876</v>
      </c>
      <c r="C20" s="22">
        <f>[3]Transport30B_EE!D70</f>
        <v>1.7294619704562936E-2</v>
      </c>
      <c r="D20" s="22">
        <f>[3]Transport30B_EE!E70</f>
        <v>0.29887178677353687</v>
      </c>
      <c r="E20" s="22">
        <f>[3]Transport30B_EE!F70</f>
        <v>0.56512834840877058</v>
      </c>
      <c r="F20" s="22">
        <f>[3]Transport30B_EE!G70</f>
        <v>3.0194362098235797E-2</v>
      </c>
      <c r="G20" s="22">
        <f>[3]Transport30B_EE!H70</f>
        <v>2.4905982231128072E-2</v>
      </c>
      <c r="H20" s="22">
        <f>[3]Transport30B_EE!J70</f>
        <v>6.3604900783765697E-2</v>
      </c>
      <c r="I20" s="22">
        <f>[3]Transport30B_EE!L70</f>
        <v>0</v>
      </c>
      <c r="J20" s="22">
        <f>[3]Transport30B_EE!M70</f>
        <v>0.99999999999999989</v>
      </c>
      <c r="K20" s="82"/>
      <c r="L20" s="86" t="s">
        <v>41</v>
      </c>
      <c r="M20" s="1111">
        <f>M8+M14</f>
        <v>0</v>
      </c>
      <c r="N20" s="89">
        <f t="shared" si="7"/>
        <v>30131.089182736738</v>
      </c>
      <c r="O20" s="89">
        <f t="shared" si="7"/>
        <v>53264.379434140661</v>
      </c>
      <c r="P20" s="89">
        <f t="shared" si="7"/>
        <v>2780.1961264703305</v>
      </c>
      <c r="Q20" s="89">
        <f t="shared" si="7"/>
        <v>2848.2535461862776</v>
      </c>
      <c r="R20" s="89">
        <f t="shared" si="7"/>
        <v>7555.1189321737893</v>
      </c>
      <c r="S20" s="89">
        <f t="shared" si="7"/>
        <v>0</v>
      </c>
      <c r="T20" s="90">
        <f t="shared" si="0"/>
        <v>96579.037221707782</v>
      </c>
    </row>
    <row r="21" spans="1:20" ht="13.5" thickBot="1">
      <c r="A21" s="1161"/>
      <c r="B21" s="92">
        <f>[3]Transport30B_EE!C71</f>
        <v>0</v>
      </c>
      <c r="C21" s="92">
        <f>[3]Transport30B_EE!D71</f>
        <v>388.36411767599918</v>
      </c>
      <c r="D21" s="92">
        <f>[3]Transport30B_EE!E71</f>
        <v>14572.787505404489</v>
      </c>
      <c r="E21" s="92">
        <f>[3]Transport30B_EE!F71</f>
        <v>27117.183690358401</v>
      </c>
      <c r="F21" s="92">
        <f>[3]Transport30B_EE!G71</f>
        <v>1527.7740053309501</v>
      </c>
      <c r="G21" s="92">
        <f>[3]Transport30B_EE!H71</f>
        <v>1214.3989587837075</v>
      </c>
      <c r="H21" s="92">
        <f>[3]Transport30B_EE!J71</f>
        <v>3044.8419862713258</v>
      </c>
      <c r="I21" s="92">
        <f>[3]Transport30B_EE!L71</f>
        <v>0</v>
      </c>
      <c r="J21" s="92">
        <f>[3]Transport30B_EE!M71</f>
        <v>47865.350263824868</v>
      </c>
      <c r="K21" s="93"/>
      <c r="L21" s="94" t="s">
        <v>32</v>
      </c>
      <c r="M21" s="1113">
        <f>M9+M15</f>
        <v>13558.214643512183</v>
      </c>
      <c r="N21" s="95">
        <f t="shared" si="7"/>
        <v>574419.67150079296</v>
      </c>
      <c r="O21" s="95">
        <f t="shared" si="7"/>
        <v>941001.64869911922</v>
      </c>
      <c r="P21" s="95">
        <f t="shared" si="7"/>
        <v>50824.637822692966</v>
      </c>
      <c r="Q21" s="95">
        <f t="shared" si="7"/>
        <v>49437.371864228538</v>
      </c>
      <c r="R21" s="95">
        <f t="shared" si="7"/>
        <v>118036.42150501045</v>
      </c>
      <c r="S21" s="95">
        <f t="shared" si="7"/>
        <v>0</v>
      </c>
      <c r="T21" s="96">
        <f t="shared" si="0"/>
        <v>1747277.9660353563</v>
      </c>
    </row>
    <row r="22" spans="1:20" ht="13.5" thickBot="1">
      <c r="M22" s="1114"/>
    </row>
    <row r="23" spans="1:20" ht="20.25">
      <c r="A23" s="55"/>
      <c r="B23" s="3"/>
      <c r="C23" s="3"/>
      <c r="D23" s="3"/>
      <c r="E23" s="3"/>
      <c r="F23" s="3"/>
      <c r="G23" s="3"/>
      <c r="H23" s="3"/>
      <c r="I23" s="3"/>
      <c r="J23" s="3"/>
      <c r="K23" s="78" t="s">
        <v>52</v>
      </c>
      <c r="L23" s="80"/>
      <c r="M23" s="1112"/>
      <c r="N23" s="80"/>
      <c r="O23" s="80"/>
      <c r="P23" s="80"/>
      <c r="Q23" s="80"/>
      <c r="R23" s="80"/>
      <c r="S23" s="80"/>
      <c r="T23" s="81"/>
    </row>
    <row r="24" spans="1:20">
      <c r="A24" s="8" t="s">
        <v>53</v>
      </c>
      <c r="B24" s="9"/>
      <c r="C24" s="9" t="s">
        <v>11</v>
      </c>
      <c r="D24" s="9" t="s">
        <v>12</v>
      </c>
      <c r="E24" s="9" t="s">
        <v>13</v>
      </c>
      <c r="F24" s="9" t="s">
        <v>7</v>
      </c>
      <c r="G24" s="9" t="s">
        <v>14</v>
      </c>
      <c r="H24" s="9" t="s">
        <v>15</v>
      </c>
      <c r="I24" s="9" t="s">
        <v>16</v>
      </c>
      <c r="J24" s="9" t="s">
        <v>17</v>
      </c>
      <c r="K24" s="82"/>
      <c r="L24" s="84"/>
      <c r="M24" s="1110" t="s">
        <v>11</v>
      </c>
      <c r="N24" s="86" t="s">
        <v>12</v>
      </c>
      <c r="O24" s="86" t="s">
        <v>13</v>
      </c>
      <c r="P24" s="86" t="s">
        <v>7</v>
      </c>
      <c r="Q24" s="86" t="s">
        <v>18</v>
      </c>
      <c r="R24" s="86" t="s">
        <v>15</v>
      </c>
      <c r="S24" s="86" t="s">
        <v>16</v>
      </c>
      <c r="T24" s="87" t="s">
        <v>19</v>
      </c>
    </row>
    <row r="25" spans="1:20">
      <c r="A25" s="15" t="s">
        <v>20</v>
      </c>
      <c r="B25" s="16" t="s">
        <v>21</v>
      </c>
      <c r="C25" s="16" t="s">
        <v>22</v>
      </c>
      <c r="D25" s="16" t="s">
        <v>22</v>
      </c>
      <c r="E25" s="16" t="s">
        <v>22</v>
      </c>
      <c r="F25" s="16" t="s">
        <v>22</v>
      </c>
      <c r="G25" s="16" t="s">
        <v>22</v>
      </c>
      <c r="H25" s="16" t="s">
        <v>22</v>
      </c>
      <c r="I25" s="16" t="s">
        <v>22</v>
      </c>
      <c r="J25" s="16" t="s">
        <v>22</v>
      </c>
      <c r="K25" s="88" t="s">
        <v>23</v>
      </c>
      <c r="L25" s="86" t="s">
        <v>24</v>
      </c>
      <c r="M25" s="1110">
        <f>C30*TJ_kytusehinnad!$J$13/1000</f>
        <v>25497.207164052943</v>
      </c>
      <c r="N25" s="89">
        <f>D30*[9]TJ_kytusehinnad!$J$8/1000</f>
        <v>101649.06223077833</v>
      </c>
      <c r="O25" s="89">
        <f>E30*[9]TJ_kytusehinnad!$J$7/1000</f>
        <v>93687.854360836005</v>
      </c>
      <c r="P25" s="89">
        <f>F30*[9]TJ_kytusehinnad!$J$12/1000</f>
        <v>30610.374343647607</v>
      </c>
      <c r="Q25" s="89">
        <f>G30*[9]TJ_kytusehinnad!$J$10/1000</f>
        <v>38435.026388784201</v>
      </c>
      <c r="R25" s="89">
        <f>H30*[9]TJ_kytusehinnad!$J$9/1000</f>
        <v>0</v>
      </c>
      <c r="S25" s="89">
        <f>I30*[9]TJ_kytusehinnad!$J$11/1000</f>
        <v>108798.62307866184</v>
      </c>
      <c r="T25" s="97">
        <f>SUM(M25:S25)</f>
        <v>398678.14756676101</v>
      </c>
    </row>
    <row r="26" spans="1:20">
      <c r="A26" s="21" t="s">
        <v>25</v>
      </c>
      <c r="B26" s="22">
        <f>[3]Transport30B_EE!Q56</f>
        <v>15593.657020769642</v>
      </c>
      <c r="C26" s="29">
        <f>[3]Transport30B_EE!R56</f>
        <v>7.0000000000000007E-2</v>
      </c>
      <c r="D26" s="29">
        <f>[3]Transport30B_EE!S56</f>
        <v>0.3</v>
      </c>
      <c r="E26" s="29">
        <f>[3]Transport30B_EE!T56</f>
        <v>0.22999999999999998</v>
      </c>
      <c r="F26" s="29">
        <f>[3]Transport30B_EE!U56</f>
        <v>0.1</v>
      </c>
      <c r="G26" s="29">
        <f>[3]Transport30B_EE!V56</f>
        <v>0.1</v>
      </c>
      <c r="H26" s="29">
        <f>[3]Transport30B_EE!X56</f>
        <v>0</v>
      </c>
      <c r="I26" s="29">
        <f>[3]Transport30B_EE!Z56</f>
        <v>0.2</v>
      </c>
      <c r="J26" s="29">
        <f>[3]Transport30B_EE!AA56</f>
        <v>1</v>
      </c>
      <c r="K26" s="82"/>
      <c r="L26" s="86" t="s">
        <v>26</v>
      </c>
      <c r="M26" s="1110">
        <f>C30*TJ_kytusehinnad!$J$24/1000</f>
        <v>1059.8567534046058</v>
      </c>
      <c r="N26" s="89">
        <f>D30*[9]TJ_kytusehinnad!$J$18/1000</f>
        <v>56693.831870579932</v>
      </c>
      <c r="O26" s="89">
        <f>E30*[9]TJ_kytusehinnad!$J$17/1000</f>
        <v>55671.930738839183</v>
      </c>
      <c r="P26" s="89">
        <f>F30*[9]TJ_kytusehinnad!$J$23/1000</f>
        <v>18032.13327357962</v>
      </c>
      <c r="Q26" s="89">
        <f>G30*[9]TJ_kytusehinnad!$J$21/1000</f>
        <v>15731.899235679488</v>
      </c>
      <c r="R26" s="89">
        <f>H30*[9]TJ_kytusehinnad!$J$20/1000</f>
        <v>0</v>
      </c>
      <c r="S26" s="89">
        <f>I30*[9]TJ_kytusehinnad!$J$22/1000</f>
        <v>0</v>
      </c>
      <c r="T26" s="97">
        <f>SUM(M26:S26)</f>
        <v>147189.65187208282</v>
      </c>
    </row>
    <row r="27" spans="1:20">
      <c r="A27" s="26" t="s">
        <v>27</v>
      </c>
      <c r="B27" s="22">
        <f>[3]Transport30B_EE!Q57</f>
        <v>735.92109583175807</v>
      </c>
      <c r="C27" s="29">
        <f>[3]Transport30B_EE!R57</f>
        <v>0.2</v>
      </c>
      <c r="D27" s="29">
        <f>[3]Transport30B_EE!S57</f>
        <v>0</v>
      </c>
      <c r="E27" s="29">
        <f>[3]Transport30B_EE!T57</f>
        <v>0.40000000000000008</v>
      </c>
      <c r="F27" s="29">
        <f>[3]Transport30B_EE!U57</f>
        <v>0.05</v>
      </c>
      <c r="G27" s="29">
        <f>[3]Transport30B_EE!V57</f>
        <v>0</v>
      </c>
      <c r="H27" s="29">
        <f>[3]Transport30B_EE!X57</f>
        <v>0</v>
      </c>
      <c r="I27" s="29">
        <f>[3]Transport30B_EE!Z57</f>
        <v>0.35</v>
      </c>
      <c r="J27" s="29">
        <f>[3]Transport30B_EE!AA57</f>
        <v>1</v>
      </c>
      <c r="K27" s="82"/>
      <c r="L27" s="86" t="s">
        <v>28</v>
      </c>
      <c r="M27" s="19">
        <f>SUM(M25:M26,M28)*0.75*0.2</f>
        <v>3983.5595876186326</v>
      </c>
      <c r="N27" s="89">
        <f t="shared" ref="N27:S27" si="8">SUM(N25:N26,N28)*0.75*0.2</f>
        <v>25276.170048665415</v>
      </c>
      <c r="O27" s="89">
        <f t="shared" si="8"/>
        <v>23809.285580363819</v>
      </c>
      <c r="P27" s="89">
        <f t="shared" si="8"/>
        <v>7755.5317577387978</v>
      </c>
      <c r="Q27" s="89">
        <f t="shared" si="8"/>
        <v>8701.5642395013165</v>
      </c>
      <c r="R27" s="89">
        <f t="shared" si="8"/>
        <v>0</v>
      </c>
      <c r="S27" s="89">
        <f t="shared" si="8"/>
        <v>17951.772807979203</v>
      </c>
      <c r="T27" s="90">
        <f>SUM(M27:S27)</f>
        <v>87477.884021867183</v>
      </c>
    </row>
    <row r="28" spans="1:20">
      <c r="A28" s="26" t="s">
        <v>29</v>
      </c>
      <c r="B28" s="22">
        <f>[3]Transport30B_EE!Q58</f>
        <v>800.31545264908436</v>
      </c>
      <c r="C28" s="29">
        <f>[3]Transport30B_EE!R58</f>
        <v>0.8</v>
      </c>
      <c r="D28" s="29">
        <f>[3]Transport30B_EE!S58</f>
        <v>0</v>
      </c>
      <c r="E28" s="29">
        <f>[3]Transport30B_EE!T58</f>
        <v>0.19999999999999996</v>
      </c>
      <c r="F28" s="29">
        <f>[3]Transport30B_EE!U58</f>
        <v>0</v>
      </c>
      <c r="G28" s="29">
        <f>[3]Transport30B_EE!V58</f>
        <v>0</v>
      </c>
      <c r="H28" s="29">
        <f>[3]Transport30B_EE!X58</f>
        <v>0</v>
      </c>
      <c r="I28" s="29">
        <f>[3]Transport30B_EE!Z58</f>
        <v>0</v>
      </c>
      <c r="J28" s="29">
        <f>[3]Transport30B_EE!AA58</f>
        <v>1</v>
      </c>
      <c r="K28" s="82"/>
      <c r="L28" s="86" t="s">
        <v>41</v>
      </c>
      <c r="M28" s="1111"/>
      <c r="N28" s="89">
        <f t="shared" ref="N28:S28" si="9">N25*0.1</f>
        <v>10164.906223077835</v>
      </c>
      <c r="O28" s="89">
        <f t="shared" si="9"/>
        <v>9368.7854360836009</v>
      </c>
      <c r="P28" s="89">
        <f t="shared" si="9"/>
        <v>3061.0374343647609</v>
      </c>
      <c r="Q28" s="89">
        <f t="shared" si="9"/>
        <v>3843.5026388784204</v>
      </c>
      <c r="R28" s="89">
        <f t="shared" si="9"/>
        <v>0</v>
      </c>
      <c r="S28" s="89">
        <f t="shared" si="9"/>
        <v>10879.862307866184</v>
      </c>
      <c r="T28" s="90">
        <f>SUM(M28:S28)</f>
        <v>37318.0940402708</v>
      </c>
    </row>
    <row r="29" spans="1:20">
      <c r="A29" s="28" t="s">
        <v>31</v>
      </c>
      <c r="B29" s="22">
        <f>[3]Transport30B_EE!Q59</f>
        <v>311.50388728972138</v>
      </c>
      <c r="C29" s="29">
        <f>[3]Transport30B_EE!R59</f>
        <v>0</v>
      </c>
      <c r="D29" s="29">
        <f>[3]Transport30B_EE!S59</f>
        <v>0</v>
      </c>
      <c r="E29" s="29">
        <f>[3]Transport30B_EE!T59</f>
        <v>1</v>
      </c>
      <c r="F29" s="29">
        <f>[3]Transport30B_EE!U59</f>
        <v>0</v>
      </c>
      <c r="G29" s="29">
        <f>[3]Transport30B_EE!V59</f>
        <v>0</v>
      </c>
      <c r="H29" s="29">
        <f>[3]Transport30B_EE!X59</f>
        <v>0</v>
      </c>
      <c r="I29" s="29">
        <f>[3]Transport30B_EE!Z59</f>
        <v>0</v>
      </c>
      <c r="J29" s="29">
        <f>[3]Transport30B_EE!AA59</f>
        <v>1</v>
      </c>
      <c r="K29" s="82"/>
      <c r="L29" s="86" t="s">
        <v>44</v>
      </c>
      <c r="M29" s="30">
        <f>SUM(M25:M28)</f>
        <v>30540.623505076182</v>
      </c>
      <c r="N29" s="98">
        <f t="shared" ref="N29:S29" si="10">SUM(N25:N28)</f>
        <v>193783.9703731015</v>
      </c>
      <c r="O29" s="98">
        <f t="shared" si="10"/>
        <v>182537.8561161226</v>
      </c>
      <c r="P29" s="98">
        <f t="shared" si="10"/>
        <v>59459.076809330785</v>
      </c>
      <c r="Q29" s="98">
        <f t="shared" si="10"/>
        <v>66711.992502843423</v>
      </c>
      <c r="R29" s="98">
        <f t="shared" si="10"/>
        <v>0</v>
      </c>
      <c r="S29" s="98">
        <f t="shared" si="10"/>
        <v>137630.25819450722</v>
      </c>
      <c r="T29" s="90">
        <f>SUM(M29:S29)</f>
        <v>670663.7775009817</v>
      </c>
    </row>
    <row r="30" spans="1:20" ht="13.5" thickBot="1">
      <c r="A30" s="31" t="s">
        <v>17</v>
      </c>
      <c r="B30" s="22">
        <f>[3]Transport30B_EE!Q60</f>
        <v>17441.397456540206</v>
      </c>
      <c r="C30" s="22">
        <f>[3]Transport30B_EE!R60</f>
        <v>853.62174082200875</v>
      </c>
      <c r="D30" s="22">
        <f>[3]Transport30B_EE!S60</f>
        <v>4916.2185111498384</v>
      </c>
      <c r="E30" s="22">
        <f>[3]Transport30B_EE!T60</f>
        <v>4769.6993436291277</v>
      </c>
      <c r="F30" s="22">
        <f>[3]Transport30B_EE!U60</f>
        <v>1682.1019844757107</v>
      </c>
      <c r="G30" s="22">
        <f>[3]Transport30B_EE!V60</f>
        <v>1638.7395037166134</v>
      </c>
      <c r="H30" s="22">
        <f>[3]Transport30B_EE!X60</f>
        <v>0</v>
      </c>
      <c r="I30" s="22">
        <f>[3]Transport30B_EE!Z60</f>
        <v>3581.016372746908</v>
      </c>
      <c r="J30" s="22">
        <f>[3]Transport30B_EE!AA60</f>
        <v>17441.397456540206</v>
      </c>
      <c r="K30" s="82"/>
      <c r="L30" s="84"/>
      <c r="M30" s="1111"/>
      <c r="N30" s="84"/>
      <c r="O30" s="84"/>
      <c r="P30" s="84"/>
      <c r="Q30" s="84"/>
      <c r="R30" s="84"/>
      <c r="S30" s="84"/>
      <c r="T30" s="85"/>
    </row>
    <row r="31" spans="1:20">
      <c r="A31" s="35"/>
      <c r="B31" s="22">
        <f>[3]Transport30B_EE!Q61</f>
        <v>0</v>
      </c>
      <c r="C31" s="22" t="str">
        <f>[3]Transport30B_EE!R61</f>
        <v>Electricity</v>
      </c>
      <c r="D31" s="22" t="str">
        <f>[3]Transport30B_EE!S61</f>
        <v>Gasoline</v>
      </c>
      <c r="E31" s="22" t="str">
        <f>[3]Transport30B_EE!T61</f>
        <v>Diesel</v>
      </c>
      <c r="F31" s="22" t="str">
        <f>[3]Transport30B_EE!U61</f>
        <v>Natural gas</v>
      </c>
      <c r="G31" s="22" t="str">
        <f>[3]Transport30B_EE!V61</f>
        <v>Ethanol</v>
      </c>
      <c r="H31" s="22" t="str">
        <f>[3]Transport30B_EE!X61</f>
        <v>Biodiesel</v>
      </c>
      <c r="I31" s="22" t="str">
        <f>[3]Transport30B_EE!Z61</f>
        <v>Biogas</v>
      </c>
      <c r="J31" s="22" t="str">
        <f>[3]Transport30B_EE!AA61</f>
        <v>Total</v>
      </c>
      <c r="K31" s="88" t="s">
        <v>33</v>
      </c>
      <c r="L31" s="86" t="s">
        <v>24</v>
      </c>
      <c r="M31" s="1110">
        <f>C37*TJ_kytusehinnad!$J$13/1000</f>
        <v>6699.322149216935</v>
      </c>
      <c r="N31" s="89">
        <f>D37*[9]TJ_kytusehinnad!$J$8/1000</f>
        <v>0</v>
      </c>
      <c r="O31" s="89">
        <f>E37*[9]TJ_kytusehinnad!$J$7/1000</f>
        <v>157902.52476174012</v>
      </c>
      <c r="P31" s="89">
        <f>F37*[9]TJ_kytusehinnad!$J$12/1000</f>
        <v>20552.182071314801</v>
      </c>
      <c r="Q31" s="89">
        <f>G37*[9]TJ_kytusehinnad!$J$10/1000</f>
        <v>0</v>
      </c>
      <c r="R31" s="89">
        <f>H37*[9]TJ_kytusehinnad!$J$9/1000</f>
        <v>0</v>
      </c>
      <c r="S31" s="89">
        <f>I37*[9]TJ_kytusehinnad!$J$11/1000</f>
        <v>73505.970082415704</v>
      </c>
      <c r="T31" s="97">
        <f>SUM(M31:S31)</f>
        <v>258659.99906468755</v>
      </c>
    </row>
    <row r="32" spans="1:20">
      <c r="A32" s="38" t="s">
        <v>34</v>
      </c>
      <c r="B32" s="22" t="str">
        <f>[3]Transport30B_EE!Q62</f>
        <v>TJ</v>
      </c>
      <c r="C32" s="22" t="str">
        <f>[3]Transport30B_EE!R62</f>
        <v>%</v>
      </c>
      <c r="D32" s="22" t="str">
        <f>[3]Transport30B_EE!S62</f>
        <v>%</v>
      </c>
      <c r="E32" s="22" t="str">
        <f>[3]Transport30B_EE!T62</f>
        <v>%</v>
      </c>
      <c r="F32" s="22" t="str">
        <f>[3]Transport30B_EE!U62</f>
        <v>%</v>
      </c>
      <c r="G32" s="22" t="str">
        <f>[3]Transport30B_EE!V62</f>
        <v>%</v>
      </c>
      <c r="H32" s="22" t="str">
        <f>[3]Transport30B_EE!X62</f>
        <v>%</v>
      </c>
      <c r="I32" s="22" t="str">
        <f>[3]Transport30B_EE!Z62</f>
        <v>%</v>
      </c>
      <c r="J32" s="22" t="str">
        <f>[3]Transport30B_EE!AA62</f>
        <v>%</v>
      </c>
      <c r="K32" s="82"/>
      <c r="L32" s="86" t="s">
        <v>26</v>
      </c>
      <c r="M32" s="1110">
        <f>C37*TJ_kytusehinnad!$J$24/1000</f>
        <v>278.47449241778003</v>
      </c>
      <c r="N32" s="89">
        <f>D37*[9]TJ_kytusehinnad!$J$18/1000</f>
        <v>0</v>
      </c>
      <c r="O32" s="89">
        <f>E37*[9]TJ_kytusehinnad!$J$17/1000</f>
        <v>93830.075221556093</v>
      </c>
      <c r="P32" s="89">
        <f>F37*[9]TJ_kytusehinnad!$J$23/1000</f>
        <v>12106.996210248259</v>
      </c>
      <c r="Q32" s="89">
        <f>G37*[9]TJ_kytusehinnad!$J$21/1000</f>
        <v>0</v>
      </c>
      <c r="R32" s="89">
        <f>H37*[9]TJ_kytusehinnad!$J$20/1000</f>
        <v>0</v>
      </c>
      <c r="S32" s="89">
        <f>I37*[9]TJ_kytusehinnad!$J$22/1000</f>
        <v>0</v>
      </c>
      <c r="T32" s="97">
        <f>SUM(M32:S32)</f>
        <v>106215.54592422213</v>
      </c>
    </row>
    <row r="33" spans="1:21">
      <c r="A33" s="26" t="s">
        <v>35</v>
      </c>
      <c r="B33" s="22">
        <f>[3]Transport30B_EE!Q63</f>
        <v>10252.093987415503</v>
      </c>
      <c r="C33" s="29">
        <f>[3]Transport30B_EE!R63</f>
        <v>0.05</v>
      </c>
      <c r="D33" s="29">
        <f>[3]Transport30B_EE!S63</f>
        <v>0</v>
      </c>
      <c r="E33" s="29">
        <f>[3]Transport30B_EE!T63</f>
        <v>0.64999999999999991</v>
      </c>
      <c r="F33" s="29">
        <f>[3]Transport30B_EE!U63</f>
        <v>0.1</v>
      </c>
      <c r="G33" s="29">
        <f>[3]Transport30B_EE!V63</f>
        <v>0</v>
      </c>
      <c r="H33" s="29">
        <f>[3]Transport30B_EE!X63</f>
        <v>0</v>
      </c>
      <c r="I33" s="29">
        <f>[3]Transport30B_EE!Z63</f>
        <v>0.2</v>
      </c>
      <c r="J33" s="29">
        <f>[3]Transport30B_EE!AA63</f>
        <v>1</v>
      </c>
      <c r="K33" s="82"/>
      <c r="L33" s="86" t="s">
        <v>28</v>
      </c>
      <c r="M33" s="1111"/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90">
        <f>SUM(M33:S33)</f>
        <v>0</v>
      </c>
    </row>
    <row r="34" spans="1:21">
      <c r="A34" s="26" t="s">
        <v>36</v>
      </c>
      <c r="B34" s="22">
        <f>[3]Transport30B_EE!Q64</f>
        <v>1559.8677309909529</v>
      </c>
      <c r="C34" s="29">
        <f>[3]Transport30B_EE!R64</f>
        <v>0.05</v>
      </c>
      <c r="D34" s="29">
        <f>[3]Transport30B_EE!S64</f>
        <v>0</v>
      </c>
      <c r="E34" s="29">
        <f>[3]Transport30B_EE!T64</f>
        <v>0.85</v>
      </c>
      <c r="F34" s="29">
        <f>[3]Transport30B_EE!U64</f>
        <v>0</v>
      </c>
      <c r="G34" s="29">
        <f>[3]Transport30B_EE!V64</f>
        <v>0</v>
      </c>
      <c r="H34" s="29">
        <f>[3]Transport30B_EE!X64</f>
        <v>0</v>
      </c>
      <c r="I34" s="29">
        <f>[3]Transport30B_EE!Z64</f>
        <v>0.1</v>
      </c>
      <c r="J34" s="29">
        <f>[3]Transport30B_EE!AA64</f>
        <v>1</v>
      </c>
      <c r="K34" s="82"/>
      <c r="L34" s="86" t="s">
        <v>41</v>
      </c>
      <c r="M34" s="1111"/>
      <c r="N34" s="89">
        <f t="shared" ref="N34:S34" si="11">N31*0.1</f>
        <v>0</v>
      </c>
      <c r="O34" s="89">
        <f t="shared" si="11"/>
        <v>15790.252476174013</v>
      </c>
      <c r="P34" s="89">
        <f t="shared" si="11"/>
        <v>2055.2182071314801</v>
      </c>
      <c r="Q34" s="89">
        <f t="shared" si="11"/>
        <v>0</v>
      </c>
      <c r="R34" s="89">
        <f t="shared" si="11"/>
        <v>0</v>
      </c>
      <c r="S34" s="89">
        <f t="shared" si="11"/>
        <v>7350.5970082415706</v>
      </c>
      <c r="T34" s="90">
        <f>SUM(M34:S34)</f>
        <v>25196.067691547065</v>
      </c>
    </row>
    <row r="35" spans="1:21" ht="13.5" thickBot="1">
      <c r="A35" s="26" t="s">
        <v>37</v>
      </c>
      <c r="B35" s="22">
        <f>[3]Transport30B_EE!Q65</f>
        <v>0</v>
      </c>
      <c r="C35" s="29">
        <f>[3]Transport30B_EE!R65</f>
        <v>0</v>
      </c>
      <c r="D35" s="29">
        <f>[3]Transport30B_EE!S65</f>
        <v>0</v>
      </c>
      <c r="E35" s="29">
        <f>[3]Transport30B_EE!T65</f>
        <v>1</v>
      </c>
      <c r="F35" s="29">
        <f>[3]Transport30B_EE!U65</f>
        <v>0</v>
      </c>
      <c r="G35" s="29">
        <f>[3]Transport30B_EE!V65</f>
        <v>0</v>
      </c>
      <c r="H35" s="29">
        <f>[3]Transport30B_EE!X65</f>
        <v>0</v>
      </c>
      <c r="I35" s="29">
        <f>[3]Transport30B_EE!Z65</f>
        <v>0</v>
      </c>
      <c r="J35" s="29">
        <f>[3]Transport30B_EE!AA65</f>
        <v>1</v>
      </c>
      <c r="K35" s="82"/>
      <c r="L35" s="86" t="s">
        <v>45</v>
      </c>
      <c r="M35" s="89">
        <f t="shared" ref="M35:S35" si="12">SUM(M31:M34)</f>
        <v>6977.7966416347153</v>
      </c>
      <c r="N35" s="89">
        <f t="shared" si="12"/>
        <v>0</v>
      </c>
      <c r="O35" s="89">
        <f t="shared" si="12"/>
        <v>267522.85245947022</v>
      </c>
      <c r="P35" s="89">
        <f t="shared" si="12"/>
        <v>34714.39648869454</v>
      </c>
      <c r="Q35" s="89">
        <f t="shared" si="12"/>
        <v>0</v>
      </c>
      <c r="R35" s="89">
        <f t="shared" si="12"/>
        <v>0</v>
      </c>
      <c r="S35" s="89">
        <f t="shared" si="12"/>
        <v>80856.567090657278</v>
      </c>
      <c r="T35" s="90">
        <f>SUM(M35:S35)</f>
        <v>390071.61268045672</v>
      </c>
    </row>
    <row r="36" spans="1:21">
      <c r="A36" s="26" t="s">
        <v>38</v>
      </c>
      <c r="B36" s="22">
        <f>[3]Transport30B_EE!Q66</f>
        <v>0</v>
      </c>
      <c r="C36" s="29">
        <f>[3]Transport30B_EE!R66</f>
        <v>0</v>
      </c>
      <c r="D36" s="29">
        <f>[3]Transport30B_EE!S66</f>
        <v>0</v>
      </c>
      <c r="E36" s="29">
        <f>[3]Transport30B_EE!T66</f>
        <v>1</v>
      </c>
      <c r="F36" s="29">
        <f>[3]Transport30B_EE!U66</f>
        <v>0</v>
      </c>
      <c r="G36" s="29">
        <f>[3]Transport30B_EE!V66</f>
        <v>0</v>
      </c>
      <c r="H36" s="29">
        <f>[3]Transport30B_EE!X66</f>
        <v>0</v>
      </c>
      <c r="I36" s="29">
        <f>[3]Transport30B_EE!Z66</f>
        <v>0</v>
      </c>
      <c r="J36" s="29">
        <f>[3]Transport30B_EE!AA66</f>
        <v>1</v>
      </c>
      <c r="K36" s="78" t="s">
        <v>19</v>
      </c>
      <c r="L36" s="79"/>
      <c r="M36" s="1112"/>
      <c r="N36" s="80"/>
      <c r="O36" s="80"/>
      <c r="P36" s="80"/>
      <c r="Q36" s="80"/>
      <c r="R36" s="80"/>
      <c r="S36" s="80"/>
      <c r="T36" s="81"/>
    </row>
    <row r="37" spans="1:21" ht="13.5" thickBot="1">
      <c r="A37" s="41" t="s">
        <v>17</v>
      </c>
      <c r="B37" s="22">
        <f>[3]Transport30B_EE!Q67</f>
        <v>11811.961718406455</v>
      </c>
      <c r="C37" s="22">
        <f>[3]Transport30B_EE!R67</f>
        <v>224.28680123854707</v>
      </c>
      <c r="D37" s="22">
        <f>[3]Transport30B_EE!S67</f>
        <v>0</v>
      </c>
      <c r="E37" s="22">
        <f>[3]Transport30B_EE!T67</f>
        <v>8038.9029490709472</v>
      </c>
      <c r="F37" s="22">
        <f>[3]Transport30B_EE!U67</f>
        <v>1129.3839748365913</v>
      </c>
      <c r="G37" s="22">
        <f>[3]Transport30B_EE!V67</f>
        <v>0</v>
      </c>
      <c r="H37" s="22">
        <f>[3]Transport30B_EE!X67</f>
        <v>0</v>
      </c>
      <c r="I37" s="22">
        <f>[3]Transport30B_EE!Z67</f>
        <v>2419.3879932603695</v>
      </c>
      <c r="J37" s="22">
        <f>[3]Transport30B_EE!AA67</f>
        <v>11811.961718406455</v>
      </c>
      <c r="K37" s="88" t="s">
        <v>46</v>
      </c>
      <c r="L37" s="86" t="s">
        <v>24</v>
      </c>
      <c r="M37" s="19">
        <f>M25+M31</f>
        <v>32196.529313269879</v>
      </c>
      <c r="N37" s="89">
        <f t="shared" ref="N37:T37" si="13">N25+N31</f>
        <v>101649.06223077833</v>
      </c>
      <c r="O37" s="89">
        <f t="shared" si="13"/>
        <v>251590.37912257612</v>
      </c>
      <c r="P37" s="89">
        <f t="shared" si="13"/>
        <v>51162.556414962412</v>
      </c>
      <c r="Q37" s="89">
        <f t="shared" si="13"/>
        <v>38435.026388784201</v>
      </c>
      <c r="R37" s="89">
        <f t="shared" si="13"/>
        <v>0</v>
      </c>
      <c r="S37" s="89">
        <f t="shared" si="13"/>
        <v>182304.59316107753</v>
      </c>
      <c r="T37" s="90">
        <f t="shared" si="13"/>
        <v>657338.14663144853</v>
      </c>
    </row>
    <row r="38" spans="1:21">
      <c r="A38" s="26"/>
      <c r="B38" s="22">
        <f>[3]Transport30B_EE!Q68</f>
        <v>0</v>
      </c>
      <c r="C38" s="22" t="str">
        <f>[3]Transport30B_EE!R68</f>
        <v>Electricity</v>
      </c>
      <c r="D38" s="22" t="str">
        <f>[3]Transport30B_EE!S68</f>
        <v>Gasoline</v>
      </c>
      <c r="E38" s="22" t="str">
        <f>[3]Transport30B_EE!T68</f>
        <v>Diesel</v>
      </c>
      <c r="F38" s="22" t="str">
        <f>[3]Transport30B_EE!U68</f>
        <v>Natural gas</v>
      </c>
      <c r="G38" s="22" t="str">
        <f>[3]Transport30B_EE!V68</f>
        <v>Ethanol</v>
      </c>
      <c r="H38" s="22" t="str">
        <f>[3]Transport30B_EE!X68</f>
        <v>Biodiesel</v>
      </c>
      <c r="I38" s="22" t="str">
        <f>[3]Transport30B_EE!Z68</f>
        <v>Biogas</v>
      </c>
      <c r="J38" s="22" t="str">
        <f>[3]Transport30B_EE!AA68</f>
        <v>Total</v>
      </c>
      <c r="K38" s="82"/>
      <c r="L38" s="86" t="s">
        <v>26</v>
      </c>
      <c r="M38" s="1111">
        <f>M26+M32</f>
        <v>1338.3312458223859</v>
      </c>
      <c r="N38" s="89">
        <f t="shared" ref="N38:T41" si="14">N26+N32</f>
        <v>56693.831870579932</v>
      </c>
      <c r="O38" s="89">
        <f t="shared" si="14"/>
        <v>149502.00596039527</v>
      </c>
      <c r="P38" s="89">
        <f t="shared" si="14"/>
        <v>30139.129483827877</v>
      </c>
      <c r="Q38" s="89">
        <f t="shared" si="14"/>
        <v>15731.899235679488</v>
      </c>
      <c r="R38" s="89">
        <f t="shared" si="14"/>
        <v>0</v>
      </c>
      <c r="S38" s="89">
        <f t="shared" si="14"/>
        <v>0</v>
      </c>
      <c r="T38" s="90">
        <f>T26+T32</f>
        <v>253405.19779630494</v>
      </c>
    </row>
    <row r="39" spans="1:21">
      <c r="A39" s="42"/>
      <c r="B39" s="22" t="str">
        <f>[3]Transport30B_EE!Q69</f>
        <v>TJ</v>
      </c>
      <c r="C39" s="22" t="str">
        <f>[3]Transport30B_EE!R69</f>
        <v>%</v>
      </c>
      <c r="D39" s="22" t="str">
        <f>[3]Transport30B_EE!S69</f>
        <v>%</v>
      </c>
      <c r="E39" s="22" t="str">
        <f>[3]Transport30B_EE!T69</f>
        <v>%</v>
      </c>
      <c r="F39" s="22" t="str">
        <f>[3]Transport30B_EE!U69</f>
        <v>%</v>
      </c>
      <c r="G39" s="22" t="str">
        <f>[3]Transport30B_EE!V69</f>
        <v>%</v>
      </c>
      <c r="H39" s="22" t="str">
        <f>[3]Transport30B_EE!X69</f>
        <v>%</v>
      </c>
      <c r="I39" s="22">
        <f>[3]Transport30B_EE!Z69</f>
        <v>0</v>
      </c>
      <c r="J39" s="22" t="str">
        <f>[3]Transport30B_EE!AA69</f>
        <v>%</v>
      </c>
      <c r="K39" s="82"/>
      <c r="L39" s="86" t="s">
        <v>28</v>
      </c>
      <c r="M39" s="1111">
        <f>M27+M33</f>
        <v>3983.5595876186326</v>
      </c>
      <c r="N39" s="89">
        <f t="shared" si="14"/>
        <v>25276.170048665415</v>
      </c>
      <c r="O39" s="89">
        <f t="shared" si="14"/>
        <v>23809.285580363819</v>
      </c>
      <c r="P39" s="89">
        <f t="shared" si="14"/>
        <v>7755.5317577387978</v>
      </c>
      <c r="Q39" s="89">
        <f t="shared" si="14"/>
        <v>8701.5642395013165</v>
      </c>
      <c r="R39" s="89">
        <f t="shared" si="14"/>
        <v>0</v>
      </c>
      <c r="S39" s="89">
        <f t="shared" si="14"/>
        <v>17951.772807979203</v>
      </c>
      <c r="T39" s="90">
        <f t="shared" si="14"/>
        <v>87477.884021867183</v>
      </c>
    </row>
    <row r="40" spans="1:21" ht="12.75" customHeight="1">
      <c r="A40" s="1160" t="s">
        <v>40</v>
      </c>
      <c r="B40" s="22">
        <f>[3]Transport30B_EE!Q70</f>
        <v>29253.359174946661</v>
      </c>
      <c r="C40" s="22">
        <f>[3]Transport30B_EE!R70</f>
        <v>8.4420754686348604E-2</v>
      </c>
      <c r="D40" s="22">
        <f>[3]Transport30B_EE!S70</f>
        <v>0.15991657840913315</v>
      </c>
      <c r="E40" s="22">
        <f>[3]Transport30B_EE!T70</f>
        <v>0.42190796346772536</v>
      </c>
      <c r="F40" s="22">
        <f>[3]Transport30B_EE!U70</f>
        <v>8.9609235641393045E-2</v>
      </c>
      <c r="G40" s="22">
        <f>[3]Transport30B_EE!V70</f>
        <v>5.3305526136377721E-2</v>
      </c>
      <c r="H40" s="22">
        <f>[3]Transport30B_EE!X70</f>
        <v>0</v>
      </c>
      <c r="I40" s="22">
        <f>[3]Transport30B_EE!Z70</f>
        <v>0.1908399416590221</v>
      </c>
      <c r="J40" s="22">
        <f>[3]Transport30B_EE!AA70</f>
        <v>0.99999999999999989</v>
      </c>
      <c r="K40" s="82"/>
      <c r="L40" s="86" t="s">
        <v>41</v>
      </c>
      <c r="M40" s="1111">
        <f>M28+M34</f>
        <v>0</v>
      </c>
      <c r="N40" s="89">
        <f t="shared" si="14"/>
        <v>10164.906223077835</v>
      </c>
      <c r="O40" s="89">
        <f t="shared" si="14"/>
        <v>25159.037912257612</v>
      </c>
      <c r="P40" s="89">
        <f t="shared" si="14"/>
        <v>5116.255641496241</v>
      </c>
      <c r="Q40" s="89">
        <f t="shared" si="14"/>
        <v>3843.5026388784204</v>
      </c>
      <c r="R40" s="89">
        <f t="shared" si="14"/>
        <v>0</v>
      </c>
      <c r="S40" s="89">
        <f t="shared" si="14"/>
        <v>18230.459316107754</v>
      </c>
      <c r="T40" s="90">
        <f t="shared" si="14"/>
        <v>62514.161731817861</v>
      </c>
    </row>
    <row r="41" spans="1:21" ht="13.5" thickBot="1">
      <c r="A41" s="1161"/>
      <c r="B41" s="22">
        <f>[3]Transport30B_EE!Q71</f>
        <v>0</v>
      </c>
      <c r="C41" s="22">
        <f>[3]Transport30B_EE!R71</f>
        <v>1077.9085420605559</v>
      </c>
      <c r="D41" s="22">
        <f>[3]Transport30B_EE!S71</f>
        <v>4916.2185111498384</v>
      </c>
      <c r="E41" s="22">
        <f>[3]Transport30B_EE!T71</f>
        <v>12808.602292700074</v>
      </c>
      <c r="F41" s="22">
        <f>[3]Transport30B_EE!U71</f>
        <v>2811.4859593123019</v>
      </c>
      <c r="G41" s="22">
        <f>[3]Transport30B_EE!V71</f>
        <v>1638.7395037166134</v>
      </c>
      <c r="H41" s="22">
        <f>[3]Transport30B_EE!X71</f>
        <v>0</v>
      </c>
      <c r="I41" s="22">
        <f>[3]Transport30B_EE!Z71</f>
        <v>6000.4043660072775</v>
      </c>
      <c r="J41" s="22">
        <f>[3]Transport30B_EE!AA71</f>
        <v>29253.359174946661</v>
      </c>
      <c r="K41" s="93"/>
      <c r="L41" s="94" t="s">
        <v>32</v>
      </c>
      <c r="M41" s="52">
        <f>M29+M35</f>
        <v>37518.420146710894</v>
      </c>
      <c r="N41" s="95">
        <f t="shared" si="14"/>
        <v>193783.9703731015</v>
      </c>
      <c r="O41" s="95">
        <f t="shared" si="14"/>
        <v>450060.70857559284</v>
      </c>
      <c r="P41" s="95">
        <f t="shared" si="14"/>
        <v>94173.473298025317</v>
      </c>
      <c r="Q41" s="95">
        <f t="shared" si="14"/>
        <v>66711.992502843423</v>
      </c>
      <c r="R41" s="95">
        <f t="shared" si="14"/>
        <v>0</v>
      </c>
      <c r="S41" s="95">
        <f t="shared" si="14"/>
        <v>218486.82528516449</v>
      </c>
      <c r="T41" s="96">
        <f t="shared" si="14"/>
        <v>1060735.3901814385</v>
      </c>
    </row>
    <row r="42" spans="1:21" ht="13.5" thickBot="1">
      <c r="M42" s="1114"/>
    </row>
    <row r="43" spans="1:21" ht="20.25">
      <c r="A43" s="55"/>
      <c r="B43" s="3"/>
      <c r="C43" s="3"/>
      <c r="D43" s="3"/>
      <c r="E43" s="3"/>
      <c r="F43" s="3"/>
      <c r="G43" s="3"/>
      <c r="H43" s="3"/>
      <c r="I43" s="3"/>
      <c r="J43" s="3"/>
      <c r="K43" s="78" t="s">
        <v>47</v>
      </c>
      <c r="L43" s="80"/>
      <c r="M43" s="1112"/>
      <c r="N43" s="80"/>
      <c r="O43" s="80"/>
      <c r="P43" s="80"/>
      <c r="Q43" s="80"/>
      <c r="R43" s="80"/>
      <c r="S43" s="80"/>
      <c r="T43" s="81"/>
    </row>
    <row r="44" spans="1:21">
      <c r="A44" s="8" t="s">
        <v>54</v>
      </c>
      <c r="B44" s="9"/>
      <c r="C44" s="9" t="s">
        <v>11</v>
      </c>
      <c r="D44" s="9" t="s">
        <v>12</v>
      </c>
      <c r="E44" s="9" t="s">
        <v>13</v>
      </c>
      <c r="F44" s="9" t="s">
        <v>7</v>
      </c>
      <c r="G44" s="9" t="s">
        <v>14</v>
      </c>
      <c r="H44" s="9" t="s">
        <v>15</v>
      </c>
      <c r="I44" s="9" t="s">
        <v>16</v>
      </c>
      <c r="J44" s="9" t="s">
        <v>17</v>
      </c>
      <c r="K44" s="99" t="s">
        <v>3</v>
      </c>
      <c r="L44" s="100"/>
      <c r="M44" s="1115" t="s">
        <v>11</v>
      </c>
      <c r="N44" s="101" t="s">
        <v>12</v>
      </c>
      <c r="O44" s="101" t="s">
        <v>13</v>
      </c>
      <c r="P44" s="101" t="s">
        <v>7</v>
      </c>
      <c r="Q44" s="101" t="s">
        <v>18</v>
      </c>
      <c r="R44" s="101" t="s">
        <v>15</v>
      </c>
      <c r="S44" s="101" t="s">
        <v>16</v>
      </c>
      <c r="T44" s="102" t="s">
        <v>19</v>
      </c>
    </row>
    <row r="45" spans="1:21">
      <c r="A45" s="15" t="s">
        <v>20</v>
      </c>
      <c r="B45" s="16" t="s">
        <v>21</v>
      </c>
      <c r="C45" s="16" t="s">
        <v>22</v>
      </c>
      <c r="D45" s="16" t="s">
        <v>22</v>
      </c>
      <c r="E45" s="16" t="s">
        <v>22</v>
      </c>
      <c r="F45" s="16" t="s">
        <v>22</v>
      </c>
      <c r="G45" s="16" t="s">
        <v>22</v>
      </c>
      <c r="H45" s="16" t="s">
        <v>22</v>
      </c>
      <c r="I45" s="16" t="s">
        <v>22</v>
      </c>
      <c r="J45" s="16" t="s">
        <v>22</v>
      </c>
      <c r="K45" s="103" t="s">
        <v>23</v>
      </c>
      <c r="L45" s="101" t="s">
        <v>24</v>
      </c>
      <c r="M45" s="1115">
        <f>C50*TJ_kytusehinnad!$J$13/1000</f>
        <v>11133.05804681769</v>
      </c>
      <c r="N45" s="89">
        <f>D50*[9]TJ_kytusehinnad!$J$8/1000</f>
        <v>223791.92359825529</v>
      </c>
      <c r="O45" s="89">
        <f>E50*[9]TJ_kytusehinnad!$J$7/1000</f>
        <v>138635.05714488015</v>
      </c>
      <c r="P45" s="89">
        <f>F50*[9]TJ_kytusehinnad!$J$12/1000</f>
        <v>20578.407896441957</v>
      </c>
      <c r="Q45" s="89">
        <f>G50*[9]TJ_kytusehinnad!$J$10/1000</f>
        <v>25385.719160598263</v>
      </c>
      <c r="R45" s="89">
        <f>H50*[9]TJ_kytusehinnad!$J$9/1000</f>
        <v>3018.536573601029</v>
      </c>
      <c r="S45" s="89">
        <f>I50*[9]TJ_kytusehinnad!$J$11/1000</f>
        <v>69498.874913829655</v>
      </c>
      <c r="T45" s="97">
        <f>SUM(M45:S45)</f>
        <v>492041.57733442396</v>
      </c>
      <c r="U45" s="105"/>
    </row>
    <row r="46" spans="1:21">
      <c r="A46" s="21" t="s">
        <v>25</v>
      </c>
      <c r="B46" s="22">
        <f>[3]Transport30B_VS!Q56</f>
        <v>21180.079970592138</v>
      </c>
      <c r="C46" s="29">
        <f>[3]Transport30B_VS!R56</f>
        <v>1.4999999999999999E-2</v>
      </c>
      <c r="D46" s="29">
        <f>[3]Transport30B_VS!S56</f>
        <v>0.5</v>
      </c>
      <c r="E46" s="29">
        <f>[3]Transport30B_VS!T56</f>
        <v>0.29500000000000004</v>
      </c>
      <c r="F46" s="29">
        <f>[3]Transport30B_VS!U56</f>
        <v>0.05</v>
      </c>
      <c r="G46" s="29">
        <f>[3]Transport30B_VS!V56</f>
        <v>0.05</v>
      </c>
      <c r="H46" s="29">
        <f>[3]Transport30B_VS!X56</f>
        <v>0</v>
      </c>
      <c r="I46" s="29">
        <f>[3]Transport30B_VS!Z56</f>
        <v>0.09</v>
      </c>
      <c r="J46" s="29">
        <f>[3]Transport30B_VS!AA56</f>
        <v>1.0000000000000002</v>
      </c>
      <c r="K46" s="106"/>
      <c r="L46" s="101" t="s">
        <v>26</v>
      </c>
      <c r="M46" s="1115">
        <f>C50*TJ_kytusehinnad!$J$24/1000</f>
        <v>462.77408663018537</v>
      </c>
      <c r="N46" s="89">
        <f>D50*[9]TJ_kytusehinnad!$J$18/1000</f>
        <v>124817.89218741529</v>
      </c>
      <c r="O46" s="89">
        <f>E50*[9]TJ_kytusehinnad!$J$17/1000</f>
        <v>82380.809679116137</v>
      </c>
      <c r="P46" s="89">
        <f>F50*[9]TJ_kytusehinnad!$J$23/1000</f>
        <v>12122.445468352498</v>
      </c>
      <c r="Q46" s="89">
        <f>G50*[9]TJ_kytusehinnad!$J$21/1000</f>
        <v>10390.667403739044</v>
      </c>
      <c r="R46" s="89">
        <f>H50*[9]TJ_kytusehinnad!$J$20/1000</f>
        <v>1167.8609297552746</v>
      </c>
      <c r="S46" s="89">
        <f>I50*[9]TJ_kytusehinnad!$J$22/1000</f>
        <v>0</v>
      </c>
      <c r="T46" s="97">
        <f>SUM(M46:S46)</f>
        <v>231342.44975500839</v>
      </c>
      <c r="U46" s="105"/>
    </row>
    <row r="47" spans="1:21">
      <c r="A47" s="26" t="s">
        <v>27</v>
      </c>
      <c r="B47" s="22">
        <f>[3]Transport30B_VS!Q57</f>
        <v>881.21162163910833</v>
      </c>
      <c r="C47" s="29">
        <f>[3]Transport30B_VS!R57</f>
        <v>0.12</v>
      </c>
      <c r="D47" s="29">
        <f>[3]Transport30B_VS!S57</f>
        <v>0</v>
      </c>
      <c r="E47" s="29">
        <f>[3]Transport30B_VS!T57</f>
        <v>0.48000000000000009</v>
      </c>
      <c r="F47" s="29">
        <f>[3]Transport30B_VS!U57</f>
        <v>0.05</v>
      </c>
      <c r="G47" s="29">
        <f>[3]Transport30B_VS!V57</f>
        <v>0</v>
      </c>
      <c r="H47" s="29">
        <f>[3]Transport30B_VS!X57</f>
        <v>0</v>
      </c>
      <c r="I47" s="29">
        <f>[3]Transport30B_VS!Z57</f>
        <v>0.35</v>
      </c>
      <c r="J47" s="29">
        <f>[3]Transport30B_VS!AA57</f>
        <v>1</v>
      </c>
      <c r="K47" s="106"/>
      <c r="L47" s="101" t="s">
        <v>28</v>
      </c>
      <c r="M47" s="62">
        <f>SUM(M45:M46,M48)*0.75*0.2</f>
        <v>1739.3748200171813</v>
      </c>
      <c r="N47" s="104">
        <f t="shared" ref="N47:S47" si="15">SUM(N45:N46,N48)*0.75*0.2</f>
        <v>55648.351221824414</v>
      </c>
      <c r="O47" s="104">
        <f t="shared" si="15"/>
        <v>35231.905880772647</v>
      </c>
      <c r="P47" s="104">
        <f t="shared" si="15"/>
        <v>5213.804123165798</v>
      </c>
      <c r="Q47" s="104">
        <f t="shared" si="15"/>
        <v>5747.2437720595699</v>
      </c>
      <c r="R47" s="104">
        <f t="shared" si="15"/>
        <v>673.23767410746109</v>
      </c>
      <c r="S47" s="104">
        <f t="shared" si="15"/>
        <v>11467.314360781893</v>
      </c>
      <c r="T47" s="107">
        <f>SUM(M47:S47)</f>
        <v>115721.23185272896</v>
      </c>
      <c r="U47" s="105"/>
    </row>
    <row r="48" spans="1:21">
      <c r="A48" s="26" t="s">
        <v>29</v>
      </c>
      <c r="B48" s="22">
        <f>[3]Transport30B_VS!Q58</f>
        <v>467.21489490511459</v>
      </c>
      <c r="C48" s="29">
        <f>[3]Transport30B_VS!R58</f>
        <v>0.75</v>
      </c>
      <c r="D48" s="29">
        <f>[3]Transport30B_VS!S58</f>
        <v>0</v>
      </c>
      <c r="E48" s="29">
        <f>[3]Transport30B_VS!T58</f>
        <v>9.9999999999999978E-2</v>
      </c>
      <c r="F48" s="29">
        <f>[3]Transport30B_VS!U58</f>
        <v>0</v>
      </c>
      <c r="G48" s="29">
        <f>[3]Transport30B_VS!V58</f>
        <v>0</v>
      </c>
      <c r="H48" s="29">
        <f>[3]Transport30B_VS!X58</f>
        <v>0.15</v>
      </c>
      <c r="I48" s="29">
        <f>[3]Transport30B_VS!Z58</f>
        <v>0</v>
      </c>
      <c r="J48" s="29">
        <f>[3]Transport30B_VS!AA58</f>
        <v>1</v>
      </c>
      <c r="K48" s="106"/>
      <c r="L48" s="101" t="s">
        <v>41</v>
      </c>
      <c r="M48" s="1116"/>
      <c r="N48" s="104">
        <f t="shared" ref="N48:S48" si="16">N45*0.1</f>
        <v>22379.192359825531</v>
      </c>
      <c r="O48" s="104">
        <f t="shared" si="16"/>
        <v>13863.505714488016</v>
      </c>
      <c r="P48" s="104">
        <f t="shared" si="16"/>
        <v>2057.8407896441959</v>
      </c>
      <c r="Q48" s="104">
        <f t="shared" si="16"/>
        <v>2538.5719160598264</v>
      </c>
      <c r="R48" s="104">
        <f t="shared" si="16"/>
        <v>301.85365736010289</v>
      </c>
      <c r="S48" s="104">
        <f t="shared" si="16"/>
        <v>6949.8874913829659</v>
      </c>
      <c r="T48" s="107">
        <f>SUM(M48:S48)</f>
        <v>48090.851928760632</v>
      </c>
    </row>
    <row r="49" spans="1:21">
      <c r="A49" s="28" t="s">
        <v>31</v>
      </c>
      <c r="B49" s="22">
        <f>[3]Transport30B_VS!Q59</f>
        <v>348.1514034414534</v>
      </c>
      <c r="C49" s="29">
        <f>[3]Transport30B_VS!R59</f>
        <v>0</v>
      </c>
      <c r="D49" s="29">
        <f>[3]Transport30B_VS!S59</f>
        <v>0</v>
      </c>
      <c r="E49" s="29">
        <f>[3]Transport30B_VS!T59</f>
        <v>1</v>
      </c>
      <c r="F49" s="29">
        <f>[3]Transport30B_VS!U59</f>
        <v>0</v>
      </c>
      <c r="G49" s="29">
        <f>[3]Transport30B_VS!V59</f>
        <v>0</v>
      </c>
      <c r="H49" s="29">
        <f>[3]Transport30B_VS!X59</f>
        <v>0</v>
      </c>
      <c r="I49" s="29">
        <f>[3]Transport30B_VS!Z59</f>
        <v>0</v>
      </c>
      <c r="J49" s="29">
        <f>[3]Transport30B_VS!AA59</f>
        <v>1</v>
      </c>
      <c r="K49" s="106"/>
      <c r="L49" s="101" t="s">
        <v>44</v>
      </c>
      <c r="M49" s="59">
        <f>SUM(M45:M48)</f>
        <v>13335.206953465056</v>
      </c>
      <c r="N49" s="108">
        <f t="shared" ref="N49:S49" si="17">SUM(N45:N48)</f>
        <v>426637.35936732055</v>
      </c>
      <c r="O49" s="108">
        <f t="shared" si="17"/>
        <v>270111.27841925697</v>
      </c>
      <c r="P49" s="108">
        <f t="shared" si="17"/>
        <v>39972.498277604449</v>
      </c>
      <c r="Q49" s="108">
        <f t="shared" si="17"/>
        <v>44062.2022524567</v>
      </c>
      <c r="R49" s="108">
        <f t="shared" si="17"/>
        <v>5161.4888348238683</v>
      </c>
      <c r="S49" s="108">
        <f t="shared" si="17"/>
        <v>87916.076765994512</v>
      </c>
      <c r="T49" s="107">
        <f>SUM(M49:S49)</f>
        <v>887196.1108709221</v>
      </c>
      <c r="U49" s="105"/>
    </row>
    <row r="50" spans="1:21" ht="13.5" thickBot="1">
      <c r="A50" s="31" t="s">
        <v>17</v>
      </c>
      <c r="B50" s="22">
        <f>[3]Transport30B_VS!Q60</f>
        <v>22876.657890577815</v>
      </c>
      <c r="C50" s="22">
        <f>[3]Transport30B_VS!R60</f>
        <v>372.72397441219829</v>
      </c>
      <c r="D50" s="22">
        <f>[3]Transport30B_VS!S60</f>
        <v>10823.611878894839</v>
      </c>
      <c r="E50" s="22">
        <f>[3]Transport30B_VS!T60</f>
        <v>7057.9857504383244</v>
      </c>
      <c r="F50" s="22">
        <f>[3]Transport30B_VS!U60</f>
        <v>1130.8251369731809</v>
      </c>
      <c r="G50" s="22">
        <f>[3]Transport30B_VS!V60</f>
        <v>1082.3611878894837</v>
      </c>
      <c r="H50" s="22">
        <f>[3]Transport30B_VS!X60</f>
        <v>121.65218018284112</v>
      </c>
      <c r="I50" s="22">
        <f>[3]Transport30B_VS!Z60</f>
        <v>2287.4977817869494</v>
      </c>
      <c r="J50" s="22">
        <f>[3]Transport30B_VS!AA60</f>
        <v>22876.657890577815</v>
      </c>
      <c r="K50" s="106"/>
      <c r="L50" s="100"/>
      <c r="M50" s="1116"/>
      <c r="N50" s="100"/>
      <c r="O50" s="100"/>
      <c r="P50" s="100"/>
      <c r="Q50" s="100"/>
      <c r="R50" s="100"/>
      <c r="S50" s="100"/>
      <c r="T50" s="109"/>
      <c r="U50" s="105"/>
    </row>
    <row r="51" spans="1:21">
      <c r="A51" s="35"/>
      <c r="B51" s="22">
        <f>[3]Transport30B_VS!Q61</f>
        <v>0</v>
      </c>
      <c r="C51" s="22" t="str">
        <f>[3]Transport30B_VS!R61</f>
        <v>Electricity</v>
      </c>
      <c r="D51" s="22" t="str">
        <f>[3]Transport30B_VS!S61</f>
        <v>Gasoline</v>
      </c>
      <c r="E51" s="22" t="str">
        <f>[3]Transport30B_VS!T61</f>
        <v>Diesel</v>
      </c>
      <c r="F51" s="22" t="str">
        <f>[3]Transport30B_VS!U61</f>
        <v>Natural gas</v>
      </c>
      <c r="G51" s="22" t="str">
        <f>[3]Transport30B_VS!V61</f>
        <v>Ethanol</v>
      </c>
      <c r="H51" s="22" t="str">
        <f>[3]Transport30B_VS!X61</f>
        <v>Biodiesel</v>
      </c>
      <c r="I51" s="22" t="str">
        <f>[3]Transport30B_VS!Z61</f>
        <v>Biogas</v>
      </c>
      <c r="J51" s="22" t="str">
        <f>[3]Transport30B_VS!AA61</f>
        <v>Total</v>
      </c>
      <c r="K51" s="103" t="s">
        <v>33</v>
      </c>
      <c r="L51" s="101" t="s">
        <v>24</v>
      </c>
      <c r="M51" s="1115">
        <f>C57*TJ_kytusehinnad!$J$13/1000</f>
        <v>3265.8757135106521</v>
      </c>
      <c r="N51" s="89">
        <f>D57*[9]TJ_kytusehinnad!$J$8/1000</f>
        <v>0</v>
      </c>
      <c r="O51" s="89">
        <f>E57*[9]TJ_kytusehinnad!$J$7/1000</f>
        <v>248781.12463964321</v>
      </c>
      <c r="P51" s="89">
        <f>F57*[9]TJ_kytusehinnad!$J$12/1000</f>
        <v>31380.115423797812</v>
      </c>
      <c r="Q51" s="89">
        <f>G57*[9]TJ_kytusehinnad!$J$10/1000</f>
        <v>0</v>
      </c>
      <c r="R51" s="89">
        <f>H57*[9]TJ_kytusehinnad!$J$9/1000</f>
        <v>0</v>
      </c>
      <c r="S51" s="89">
        <f>I57*[9]TJ_kytusehinnad!$J$11/1000</f>
        <v>82673.347830640356</v>
      </c>
      <c r="T51" s="110">
        <f>SUM(M51:S51)</f>
        <v>366100.46360759204</v>
      </c>
      <c r="U51" s="105"/>
    </row>
    <row r="52" spans="1:21">
      <c r="A52" s="38" t="s">
        <v>34</v>
      </c>
      <c r="B52" s="22" t="str">
        <f>[3]Transport30B_VS!Q62</f>
        <v>TJ</v>
      </c>
      <c r="C52" s="22" t="str">
        <f>[3]Transport30B_VS!R62</f>
        <v>%</v>
      </c>
      <c r="D52" s="22" t="str">
        <f>[3]Transport30B_VS!S62</f>
        <v>%</v>
      </c>
      <c r="E52" s="22" t="str">
        <f>[3]Transport30B_VS!T62</f>
        <v>%</v>
      </c>
      <c r="F52" s="22" t="str">
        <f>[3]Transport30B_VS!U62</f>
        <v>%</v>
      </c>
      <c r="G52" s="22" t="str">
        <f>[3]Transport30B_VS!V62</f>
        <v>%</v>
      </c>
      <c r="H52" s="22" t="str">
        <f>[3]Transport30B_VS!X62</f>
        <v>%</v>
      </c>
      <c r="I52" s="22" t="str">
        <f>[3]Transport30B_VS!Z62</f>
        <v>%</v>
      </c>
      <c r="J52" s="22" t="str">
        <f>[3]Transport30B_VS!AA62</f>
        <v>%</v>
      </c>
      <c r="K52" s="106"/>
      <c r="L52" s="101" t="s">
        <v>26</v>
      </c>
      <c r="M52" s="1115">
        <f>C57*TJ_kytusehinnad!$J$24/1000</f>
        <v>135.75449297146258</v>
      </c>
      <c r="N52" s="89">
        <f>D57*[9]TJ_kytusehinnad!$J$18/1000</f>
        <v>0</v>
      </c>
      <c r="O52" s="89">
        <f>E57*[9]TJ_kytusehinnad!$J$17/1000</f>
        <v>147832.66875475008</v>
      </c>
      <c r="P52" s="89">
        <f>F57*[9]TJ_kytusehinnad!$J$23/1000</f>
        <v>18485.576723424201</v>
      </c>
      <c r="Q52" s="89">
        <f>G57*[9]TJ_kytusehinnad!$J$21/1000</f>
        <v>0</v>
      </c>
      <c r="R52" s="89">
        <f>H57*[9]TJ_kytusehinnad!$J$20/1000</f>
        <v>0</v>
      </c>
      <c r="S52" s="89">
        <f>I57*[9]TJ_kytusehinnad!$J$22/1000</f>
        <v>0</v>
      </c>
      <c r="T52" s="110">
        <f>SUM(M52:S52)</f>
        <v>166453.99997114573</v>
      </c>
    </row>
    <row r="53" spans="1:21">
      <c r="A53" s="26" t="s">
        <v>35</v>
      </c>
      <c r="B53" s="22">
        <f>[3]Transport30B_VS!Q63</f>
        <v>15914.016219021181</v>
      </c>
      <c r="C53" s="29">
        <f>[3]Transport30B_VS!R63</f>
        <v>1.4999999999999999E-2</v>
      </c>
      <c r="D53" s="29">
        <f>[3]Transport30B_VS!S63</f>
        <v>0</v>
      </c>
      <c r="E53" s="29">
        <f>[3]Transport30B_VS!T63</f>
        <v>0.73499999999999999</v>
      </c>
      <c r="F53" s="29">
        <f>[3]Transport30B_VS!U63</f>
        <v>0.1</v>
      </c>
      <c r="G53" s="29">
        <f>[3]Transport30B_VS!V63</f>
        <v>0</v>
      </c>
      <c r="H53" s="29">
        <f>[3]Transport30B_VS!X63</f>
        <v>0</v>
      </c>
      <c r="I53" s="29">
        <f>[3]Transport30B_VS!Z63</f>
        <v>0.15</v>
      </c>
      <c r="J53" s="29">
        <f>[3]Transport30B_VS!AA63</f>
        <v>1</v>
      </c>
      <c r="K53" s="106"/>
      <c r="L53" s="101" t="s">
        <v>28</v>
      </c>
      <c r="M53" s="1116"/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7">
        <f>SUM(M53:S53)</f>
        <v>0</v>
      </c>
      <c r="U53" s="105"/>
    </row>
    <row r="54" spans="1:21">
      <c r="A54" s="26" t="s">
        <v>36</v>
      </c>
      <c r="B54" s="22">
        <f>[3]Transport30B_VS!Q64</f>
        <v>1306.4291928491459</v>
      </c>
      <c r="C54" s="29">
        <f>[3]Transport30B_VS!R64</f>
        <v>0.05</v>
      </c>
      <c r="D54" s="29">
        <f>[3]Transport30B_VS!S64</f>
        <v>0</v>
      </c>
      <c r="E54" s="29">
        <f>[3]Transport30B_VS!T64</f>
        <v>0.85</v>
      </c>
      <c r="F54" s="29">
        <f>[3]Transport30B_VS!U64</f>
        <v>0</v>
      </c>
      <c r="G54" s="29">
        <f>[3]Transport30B_VS!V64</f>
        <v>0</v>
      </c>
      <c r="H54" s="29">
        <f>[3]Transport30B_VS!X64</f>
        <v>0</v>
      </c>
      <c r="I54" s="29">
        <f>[3]Transport30B_VS!Z64</f>
        <v>0.1</v>
      </c>
      <c r="J54" s="29">
        <f>[3]Transport30B_VS!AA64</f>
        <v>1</v>
      </c>
      <c r="K54" s="106"/>
      <c r="L54" s="101" t="s">
        <v>41</v>
      </c>
      <c r="M54" s="1116"/>
      <c r="N54" s="104">
        <f t="shared" ref="N54:S54" si="18">N51*0.1</f>
        <v>0</v>
      </c>
      <c r="O54" s="104">
        <f t="shared" si="18"/>
        <v>24878.112463964324</v>
      </c>
      <c r="P54" s="104">
        <f t="shared" si="18"/>
        <v>3138.0115423797815</v>
      </c>
      <c r="Q54" s="104">
        <f t="shared" si="18"/>
        <v>0</v>
      </c>
      <c r="R54" s="104">
        <f t="shared" si="18"/>
        <v>0</v>
      </c>
      <c r="S54" s="104">
        <f t="shared" si="18"/>
        <v>8267.3347830640359</v>
      </c>
      <c r="T54" s="107">
        <f>SUM(M54:S54)</f>
        <v>36283.458789408141</v>
      </c>
      <c r="U54" s="105"/>
    </row>
    <row r="55" spans="1:21" ht="13.5" thickBot="1">
      <c r="A55" s="26" t="s">
        <v>37</v>
      </c>
      <c r="B55" s="22">
        <f>[3]Transport30B_VS!Q65</f>
        <v>0</v>
      </c>
      <c r="C55" s="29">
        <f>[3]Transport30B_VS!R65</f>
        <v>0</v>
      </c>
      <c r="D55" s="29">
        <f>[3]Transport30B_VS!S65</f>
        <v>0</v>
      </c>
      <c r="E55" s="29">
        <f>[3]Transport30B_VS!T65</f>
        <v>1</v>
      </c>
      <c r="F55" s="29">
        <f>[3]Transport30B_VS!U65</f>
        <v>0</v>
      </c>
      <c r="G55" s="29">
        <f>[3]Transport30B_VS!V65</f>
        <v>0</v>
      </c>
      <c r="H55" s="29">
        <f>[3]Transport30B_VS!X65</f>
        <v>0</v>
      </c>
      <c r="I55" s="29">
        <f>[3]Transport30B_VS!Z65</f>
        <v>0</v>
      </c>
      <c r="J55" s="29">
        <f>[3]Transport30B_VS!AA65</f>
        <v>1</v>
      </c>
      <c r="K55" s="111"/>
      <c r="L55" s="112" t="s">
        <v>45</v>
      </c>
      <c r="M55" s="113">
        <f t="shared" ref="M55:S55" si="19">SUM(M51:M54)</f>
        <v>3401.6302064821148</v>
      </c>
      <c r="N55" s="113">
        <f t="shared" si="19"/>
        <v>0</v>
      </c>
      <c r="O55" s="113">
        <f t="shared" si="19"/>
        <v>421491.90585835761</v>
      </c>
      <c r="P55" s="113">
        <f t="shared" si="19"/>
        <v>53003.703689601796</v>
      </c>
      <c r="Q55" s="113">
        <f t="shared" si="19"/>
        <v>0</v>
      </c>
      <c r="R55" s="113">
        <f t="shared" si="19"/>
        <v>0</v>
      </c>
      <c r="S55" s="113">
        <f t="shared" si="19"/>
        <v>90940.682613704397</v>
      </c>
      <c r="T55" s="114">
        <f>SUM(M55:S55)</f>
        <v>568837.9223681459</v>
      </c>
      <c r="U55" s="105"/>
    </row>
    <row r="56" spans="1:21">
      <c r="A56" s="26" t="s">
        <v>38</v>
      </c>
      <c r="B56" s="22">
        <f>[3]Transport30B_VS!Q66</f>
        <v>0</v>
      </c>
      <c r="C56" s="29">
        <f>[3]Transport30B_VS!R66</f>
        <v>0</v>
      </c>
      <c r="D56" s="29">
        <f>[3]Transport30B_VS!S66</f>
        <v>0</v>
      </c>
      <c r="E56" s="29">
        <f>[3]Transport30B_VS!T66</f>
        <v>1</v>
      </c>
      <c r="F56" s="29">
        <f>[3]Transport30B_VS!U66</f>
        <v>0</v>
      </c>
      <c r="G56" s="29">
        <f>[3]Transport30B_VS!V66</f>
        <v>0</v>
      </c>
      <c r="H56" s="29">
        <f>[3]Transport30B_VS!X66</f>
        <v>0</v>
      </c>
      <c r="I56" s="29">
        <f>[3]Transport30B_VS!Z66</f>
        <v>0</v>
      </c>
      <c r="J56" s="29">
        <f>[3]Transport30B_VS!AA66</f>
        <v>1</v>
      </c>
      <c r="K56" s="115" t="s">
        <v>19</v>
      </c>
      <c r="L56" s="116"/>
      <c r="M56" s="1118"/>
      <c r="N56" s="117"/>
      <c r="O56" s="117"/>
      <c r="P56" s="117"/>
      <c r="Q56" s="117"/>
      <c r="R56" s="117"/>
      <c r="S56" s="117"/>
      <c r="T56" s="118"/>
    </row>
    <row r="57" spans="1:21" ht="13.5" thickBot="1">
      <c r="A57" s="41" t="s">
        <v>17</v>
      </c>
      <c r="B57" s="22">
        <f>[3]Transport30B_VS!Q67</f>
        <v>17220.445411870329</v>
      </c>
      <c r="C57" s="22">
        <f>[3]Transport30B_VS!R67</f>
        <v>109.33834807624241</v>
      </c>
      <c r="D57" s="22">
        <f>[3]Transport30B_VS!S67</f>
        <v>0</v>
      </c>
      <c r="E57" s="22">
        <f>[3]Transport30B_VS!T67</f>
        <v>12665.581627377491</v>
      </c>
      <c r="F57" s="22">
        <f>[3]Transport30B_VS!U67</f>
        <v>1724.4008137522574</v>
      </c>
      <c r="G57" s="22">
        <f>[3]Transport30B_VS!V67</f>
        <v>0</v>
      </c>
      <c r="H57" s="22">
        <f>[3]Transport30B_VS!X67</f>
        <v>0</v>
      </c>
      <c r="I57" s="22">
        <f>[3]Transport30B_VS!Z67</f>
        <v>2721.1246226643375</v>
      </c>
      <c r="J57" s="22">
        <f>[3]Transport30B_VS!AA67</f>
        <v>17220.445411870329</v>
      </c>
      <c r="K57" s="103" t="s">
        <v>49</v>
      </c>
      <c r="L57" s="101" t="s">
        <v>24</v>
      </c>
      <c r="M57" s="62">
        <f>M45+M51</f>
        <v>14398.933760328342</v>
      </c>
      <c r="N57" s="104">
        <f t="shared" ref="N57:T57" si="20">N45+N51</f>
        <v>223791.92359825529</v>
      </c>
      <c r="O57" s="104">
        <f t="shared" si="20"/>
        <v>387416.18178452336</v>
      </c>
      <c r="P57" s="104">
        <f t="shared" si="20"/>
        <v>51958.523320239765</v>
      </c>
      <c r="Q57" s="104">
        <f t="shared" si="20"/>
        <v>25385.719160598263</v>
      </c>
      <c r="R57" s="104">
        <f t="shared" si="20"/>
        <v>3018.536573601029</v>
      </c>
      <c r="S57" s="104">
        <f t="shared" si="20"/>
        <v>152172.22274447</v>
      </c>
      <c r="T57" s="107">
        <f t="shared" si="20"/>
        <v>858142.04094201606</v>
      </c>
      <c r="U57" s="105"/>
    </row>
    <row r="58" spans="1:21">
      <c r="A58" s="26"/>
      <c r="B58" s="22">
        <f>[3]Transport30B_VS!Q68</f>
        <v>0</v>
      </c>
      <c r="C58" s="22" t="str">
        <f>[3]Transport30B_VS!R68</f>
        <v>Electricity</v>
      </c>
      <c r="D58" s="22" t="str">
        <f>[3]Transport30B_VS!S68</f>
        <v>Gasoline</v>
      </c>
      <c r="E58" s="22" t="str">
        <f>[3]Transport30B_VS!T68</f>
        <v>Diesel</v>
      </c>
      <c r="F58" s="22" t="str">
        <f>[3]Transport30B_VS!U68</f>
        <v>Natural gas</v>
      </c>
      <c r="G58" s="22" t="str">
        <f>[3]Transport30B_VS!V68</f>
        <v>Ethanol</v>
      </c>
      <c r="H58" s="22" t="str">
        <f>[3]Transport30B_VS!X68</f>
        <v>Biodiesel</v>
      </c>
      <c r="I58" s="22" t="str">
        <f>[3]Transport30B_VS!Z68</f>
        <v>Biogas</v>
      </c>
      <c r="J58" s="22" t="str">
        <f>[3]Transport30B_VS!AA68</f>
        <v>Total</v>
      </c>
      <c r="K58" s="106"/>
      <c r="L58" s="101" t="s">
        <v>26</v>
      </c>
      <c r="M58" s="1116">
        <f>M46+M52</f>
        <v>598.52857960164795</v>
      </c>
      <c r="N58" s="104">
        <f t="shared" ref="N58:T61" si="21">N46+N52</f>
        <v>124817.89218741529</v>
      </c>
      <c r="O58" s="104">
        <f t="shared" si="21"/>
        <v>230213.47843386623</v>
      </c>
      <c r="P58" s="104">
        <f t="shared" si="21"/>
        <v>30608.022191776698</v>
      </c>
      <c r="Q58" s="104">
        <f t="shared" si="21"/>
        <v>10390.667403739044</v>
      </c>
      <c r="R58" s="104">
        <f t="shared" si="21"/>
        <v>1167.8609297552746</v>
      </c>
      <c r="S58" s="104">
        <f t="shared" si="21"/>
        <v>0</v>
      </c>
      <c r="T58" s="107">
        <f t="shared" si="21"/>
        <v>397796.4497261541</v>
      </c>
      <c r="U58" s="105"/>
    </row>
    <row r="59" spans="1:21">
      <c r="A59" s="42"/>
      <c r="B59" s="22" t="str">
        <f>[3]Transport30B_VS!Q69</f>
        <v>TJ</v>
      </c>
      <c r="C59" s="22" t="str">
        <f>[3]Transport30B_VS!R69</f>
        <v>%</v>
      </c>
      <c r="D59" s="22" t="str">
        <f>[3]Transport30B_VS!S69</f>
        <v>%</v>
      </c>
      <c r="E59" s="22" t="str">
        <f>[3]Transport30B_VS!T69</f>
        <v>%</v>
      </c>
      <c r="F59" s="22" t="str">
        <f>[3]Transport30B_VS!U69</f>
        <v>%</v>
      </c>
      <c r="G59" s="22" t="str">
        <f>[3]Transport30B_VS!V69</f>
        <v>%</v>
      </c>
      <c r="H59" s="22" t="str">
        <f>[3]Transport30B_VS!X69</f>
        <v>%</v>
      </c>
      <c r="I59" s="22">
        <f>[3]Transport30B_VS!Z69</f>
        <v>0</v>
      </c>
      <c r="J59" s="22" t="str">
        <f>[3]Transport30B_VS!AA69</f>
        <v>%</v>
      </c>
      <c r="K59" s="106"/>
      <c r="L59" s="101" t="s">
        <v>28</v>
      </c>
      <c r="M59" s="1116">
        <f>M47+M53</f>
        <v>1739.3748200171813</v>
      </c>
      <c r="N59" s="104">
        <f t="shared" si="21"/>
        <v>55648.351221824414</v>
      </c>
      <c r="O59" s="104">
        <f t="shared" si="21"/>
        <v>35231.905880772647</v>
      </c>
      <c r="P59" s="104">
        <f t="shared" si="21"/>
        <v>5213.804123165798</v>
      </c>
      <c r="Q59" s="104">
        <f t="shared" si="21"/>
        <v>5747.2437720595699</v>
      </c>
      <c r="R59" s="104">
        <f t="shared" si="21"/>
        <v>673.23767410746109</v>
      </c>
      <c r="S59" s="104">
        <f t="shared" si="21"/>
        <v>11467.314360781893</v>
      </c>
      <c r="T59" s="107">
        <f t="shared" si="21"/>
        <v>115721.23185272896</v>
      </c>
      <c r="U59" s="105"/>
    </row>
    <row r="60" spans="1:21" ht="12.75" customHeight="1">
      <c r="A60" s="1160" t="s">
        <v>40</v>
      </c>
      <c r="B60" s="22">
        <f>[3]Transport30B_VS!Q70</f>
        <v>40097.103302448144</v>
      </c>
      <c r="C60" s="22">
        <f>[3]Transport30B_VS!R70</f>
        <v>2.6881978484375332E-2</v>
      </c>
      <c r="D60" s="22">
        <f>[3]Transport30B_VS!S70</f>
        <v>0.26410985116347518</v>
      </c>
      <c r="E60" s="22">
        <f>[3]Transport30B_VS!T70</f>
        <v>0.49562794218933998</v>
      </c>
      <c r="F60" s="22">
        <f>[3]Transport30B_VS!U70</f>
        <v>6.719852507024289E-2</v>
      </c>
      <c r="G60" s="22">
        <f>[3]Transport30B_VS!V70</f>
        <v>2.641098511634752E-2</v>
      </c>
      <c r="H60" s="22">
        <f>[3]Transport30B_VS!X70</f>
        <v>1.7478128957881178E-3</v>
      </c>
      <c r="I60" s="22">
        <f>[3]Transport30B_VS!Z70</f>
        <v>0.11802290508043095</v>
      </c>
      <c r="J60" s="22">
        <f>[3]Transport30B_VS!AA70</f>
        <v>1</v>
      </c>
      <c r="K60" s="106"/>
      <c r="L60" s="101" t="s">
        <v>41</v>
      </c>
      <c r="M60" s="1116">
        <f>M48+M54</f>
        <v>0</v>
      </c>
      <c r="N60" s="104">
        <f t="shared" si="21"/>
        <v>22379.192359825531</v>
      </c>
      <c r="O60" s="104">
        <f t="shared" si="21"/>
        <v>38741.618178452336</v>
      </c>
      <c r="P60" s="104">
        <f t="shared" si="21"/>
        <v>5195.8523320239774</v>
      </c>
      <c r="Q60" s="104">
        <f t="shared" si="21"/>
        <v>2538.5719160598264</v>
      </c>
      <c r="R60" s="104">
        <f t="shared" si="21"/>
        <v>301.85365736010289</v>
      </c>
      <c r="S60" s="104">
        <f t="shared" si="21"/>
        <v>15217.222274447002</v>
      </c>
      <c r="T60" s="107">
        <f t="shared" si="21"/>
        <v>84374.310718168766</v>
      </c>
    </row>
    <row r="61" spans="1:21" ht="13.5" thickBot="1">
      <c r="A61" s="1161"/>
      <c r="B61" s="22">
        <f>[3]Transport30B_VS!Q71</f>
        <v>0</v>
      </c>
      <c r="C61" s="22">
        <f>[3]Transport30B_VS!R71</f>
        <v>482.06232248844071</v>
      </c>
      <c r="D61" s="22">
        <f>[3]Transport30B_VS!S71</f>
        <v>10823.611878894839</v>
      </c>
      <c r="E61" s="22">
        <f>[3]Transport30B_VS!T71</f>
        <v>19723.567377815816</v>
      </c>
      <c r="F61" s="22">
        <f>[3]Transport30B_VS!U71</f>
        <v>2855.2259507254385</v>
      </c>
      <c r="G61" s="22">
        <f>[3]Transport30B_VS!V71</f>
        <v>1082.3611878894837</v>
      </c>
      <c r="H61" s="22">
        <f>[3]Transport30B_VS!X71</f>
        <v>121.65218018284112</v>
      </c>
      <c r="I61" s="22">
        <f>[3]Transport30B_VS!Z71</f>
        <v>5008.6224044512874</v>
      </c>
      <c r="J61" s="22">
        <f>[3]Transport30B_VS!AA71</f>
        <v>40097.103302448144</v>
      </c>
      <c r="K61" s="106"/>
      <c r="L61" s="101" t="s">
        <v>32</v>
      </c>
      <c r="M61" s="75">
        <f>M49+M55</f>
        <v>16736.837159947172</v>
      </c>
      <c r="N61" s="108">
        <f t="shared" si="21"/>
        <v>426637.35936732055</v>
      </c>
      <c r="O61" s="108">
        <f t="shared" si="21"/>
        <v>691603.18427761458</v>
      </c>
      <c r="P61" s="108">
        <f t="shared" si="21"/>
        <v>92976.201967206245</v>
      </c>
      <c r="Q61" s="108">
        <f t="shared" si="21"/>
        <v>44062.2022524567</v>
      </c>
      <c r="R61" s="108">
        <f t="shared" si="21"/>
        <v>5161.4888348238683</v>
      </c>
      <c r="S61" s="108">
        <f t="shared" si="21"/>
        <v>178856.75937969889</v>
      </c>
      <c r="T61" s="107">
        <f t="shared" si="21"/>
        <v>1456034.033239068</v>
      </c>
      <c r="U61" s="105"/>
    </row>
    <row r="62" spans="1:21" ht="13.5" thickBot="1">
      <c r="K62" s="119"/>
      <c r="L62" s="120"/>
      <c r="M62" s="121"/>
      <c r="N62" s="121"/>
      <c r="O62" s="121"/>
      <c r="P62" s="121"/>
      <c r="Q62" s="121"/>
      <c r="R62" s="121"/>
      <c r="S62" s="121"/>
      <c r="T62" s="122"/>
      <c r="U62" s="105"/>
    </row>
    <row r="63" spans="1:21">
      <c r="K63" s="123"/>
      <c r="M63" s="105"/>
      <c r="N63" s="105"/>
      <c r="O63" s="105"/>
      <c r="P63" s="105"/>
      <c r="Q63" s="123"/>
      <c r="S63" s="105"/>
      <c r="T63" s="105"/>
      <c r="U63" s="105"/>
    </row>
  </sheetData>
  <mergeCells count="3">
    <mergeCell ref="A20:A21"/>
    <mergeCell ref="A40:A41"/>
    <mergeCell ref="A60:A6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125"/>
  <sheetViews>
    <sheetView topLeftCell="A20" workbookViewId="0">
      <selection activeCell="M53" sqref="M53"/>
    </sheetView>
  </sheetViews>
  <sheetFormatPr defaultColWidth="8.85546875" defaultRowHeight="12.75"/>
  <cols>
    <col min="13" max="13" width="10.140625" customWidth="1"/>
  </cols>
  <sheetData>
    <row r="1" spans="1:20" ht="13.5" thickBot="1"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3.5" thickBot="1">
      <c r="K2" s="78" t="s">
        <v>89</v>
      </c>
      <c r="L2" s="79"/>
      <c r="M2" s="79"/>
      <c r="N2" s="80"/>
      <c r="O2" s="80"/>
      <c r="P2" s="80"/>
      <c r="Q2" s="80"/>
      <c r="R2" s="80"/>
      <c r="S2" s="80"/>
      <c r="T2" s="81"/>
    </row>
    <row r="3" spans="1:20" ht="20.25">
      <c r="A3" s="55" t="s">
        <v>1</v>
      </c>
      <c r="B3" s="3"/>
      <c r="C3" s="3"/>
      <c r="D3" s="3"/>
      <c r="E3" s="3"/>
      <c r="F3" s="3"/>
      <c r="G3" s="3"/>
      <c r="H3" s="3"/>
      <c r="I3" s="3"/>
      <c r="J3" s="3"/>
      <c r="K3" s="82"/>
      <c r="L3" s="83" t="s">
        <v>3</v>
      </c>
      <c r="M3" s="84"/>
      <c r="N3" s="84"/>
      <c r="O3" s="84"/>
      <c r="P3" s="84"/>
      <c r="Q3" s="84"/>
      <c r="R3" s="84"/>
      <c r="S3" s="84"/>
      <c r="T3" s="85"/>
    </row>
    <row r="4" spans="1:20">
      <c r="A4" s="8" t="s">
        <v>75</v>
      </c>
      <c r="B4" s="9"/>
      <c r="C4" s="9" t="s">
        <v>11</v>
      </c>
      <c r="D4" s="9" t="s">
        <v>12</v>
      </c>
      <c r="E4" s="9" t="s">
        <v>13</v>
      </c>
      <c r="F4" s="9" t="s">
        <v>7</v>
      </c>
      <c r="G4" s="9" t="s">
        <v>14</v>
      </c>
      <c r="H4" s="9" t="s">
        <v>15</v>
      </c>
      <c r="I4" s="9" t="s">
        <v>16</v>
      </c>
      <c r="J4" s="9" t="s">
        <v>17</v>
      </c>
      <c r="K4" s="82"/>
      <c r="L4" s="84"/>
      <c r="M4" s="86" t="s">
        <v>11</v>
      </c>
      <c r="N4" s="86" t="s">
        <v>12</v>
      </c>
      <c r="O4" s="86" t="s">
        <v>13</v>
      </c>
      <c r="P4" s="86" t="s">
        <v>7</v>
      </c>
      <c r="Q4" s="86" t="s">
        <v>18</v>
      </c>
      <c r="R4" s="86" t="s">
        <v>15</v>
      </c>
      <c r="S4" s="86" t="s">
        <v>16</v>
      </c>
      <c r="T4" s="87" t="s">
        <v>19</v>
      </c>
    </row>
    <row r="5" spans="1:20">
      <c r="A5" s="15" t="s">
        <v>20</v>
      </c>
      <c r="B5" s="16" t="s">
        <v>21</v>
      </c>
      <c r="C5" s="16" t="s">
        <v>22</v>
      </c>
      <c r="D5" s="16" t="s">
        <v>22</v>
      </c>
      <c r="E5" s="16" t="s">
        <v>22</v>
      </c>
      <c r="F5" s="16" t="s">
        <v>22</v>
      </c>
      <c r="G5" s="16" t="s">
        <v>22</v>
      </c>
      <c r="H5" s="16" t="s">
        <v>22</v>
      </c>
      <c r="I5" s="16" t="s">
        <v>22</v>
      </c>
      <c r="J5" s="16" t="s">
        <v>22</v>
      </c>
      <c r="K5" s="88" t="s">
        <v>23</v>
      </c>
      <c r="L5" s="86" t="s">
        <v>24</v>
      </c>
      <c r="M5" s="1110">
        <f>C10*TJ_kytusehinnad!$N$13/1000</f>
        <v>18171.730480930783</v>
      </c>
      <c r="N5" s="163">
        <f>D10*[8]TJ_kytusehinnad!$N$8/1000</f>
        <v>248898.05812473054</v>
      </c>
      <c r="O5" s="163">
        <f>E10*[8]TJ_kytusehinnad!$N$7/1000</f>
        <v>188484.9850946831</v>
      </c>
      <c r="P5" s="163">
        <f>F10*[8]TJ_kytusehinnad!$N$12/1000</f>
        <v>18415.245985223039</v>
      </c>
      <c r="Q5" s="163">
        <f>G10*[8]TJ_kytusehinnad!$N$10/1000</f>
        <v>28809.816660434539</v>
      </c>
      <c r="R5" s="163">
        <f>H10*[8]TJ_kytusehinnad!$N$9/1000</f>
        <v>23990.337335732405</v>
      </c>
      <c r="S5" s="163">
        <f>I10*[8]TJ_kytusehinnad!$N$11/1000</f>
        <v>0</v>
      </c>
      <c r="T5" s="164">
        <f>SUM(M5:S5)</f>
        <v>526770.17368173436</v>
      </c>
    </row>
    <row r="6" spans="1:20">
      <c r="A6" s="21" t="s">
        <v>25</v>
      </c>
      <c r="B6" s="22">
        <f>[1]TransportB_EE!C56</f>
        <v>18649.799601428127</v>
      </c>
      <c r="C6" s="22">
        <f>[1]TransportB_EE!D56</f>
        <v>0.05</v>
      </c>
      <c r="D6" s="22">
        <f>[1]TransportB_EE!E56</f>
        <v>0.49</v>
      </c>
      <c r="E6" s="22">
        <f>[1]TransportB_EE!F56</f>
        <v>0.33999999999999997</v>
      </c>
      <c r="F6" s="22">
        <f>[1]TransportB_EE!G56</f>
        <v>0.04</v>
      </c>
      <c r="G6" s="22">
        <f>[1]TransportB_EE!H56</f>
        <v>0.05</v>
      </c>
      <c r="H6" s="22">
        <f>[1]TransportB_EE!J56</f>
        <v>0.03</v>
      </c>
      <c r="I6" s="803">
        <f>[1]TransportB_EE!L56</f>
        <v>0</v>
      </c>
      <c r="J6" s="22">
        <f>[1]TransportB_EE!M56</f>
        <v>1</v>
      </c>
      <c r="K6" s="82"/>
      <c r="L6" s="86" t="s">
        <v>26</v>
      </c>
      <c r="M6" s="1110">
        <f>C10*TJ_kytusehinnad!$N$24/1000</f>
        <v>0</v>
      </c>
      <c r="N6" s="163">
        <f>D10*[8]TJ_kytusehinnad!$N$18/1000</f>
        <v>110808.31246957583</v>
      </c>
      <c r="O6" s="163">
        <f>E10*[8]TJ_kytusehinnad!$N$17/1000</f>
        <v>89402.187953830755</v>
      </c>
      <c r="P6" s="163">
        <f>F10*[8]TJ_kytusehinnad!$N$23/1000</f>
        <v>9559.1283038078291</v>
      </c>
      <c r="Q6" s="163">
        <f>G10*[8]TJ_kytusehinnad!$N$21/1000</f>
        <v>9412.670684837296</v>
      </c>
      <c r="R6" s="163">
        <f>H10*[8]TJ_kytusehinnad!$N$20/1000</f>
        <v>7255.3159035435865</v>
      </c>
      <c r="S6" s="163">
        <f>I10*[8]TJ_kytusehinnad!$N$22/1000</f>
        <v>0</v>
      </c>
      <c r="T6" s="164">
        <f t="shared" ref="T6:T21" si="0">SUM(M6:S6)</f>
        <v>226437.61531559532</v>
      </c>
    </row>
    <row r="7" spans="1:20">
      <c r="A7" s="26" t="s">
        <v>27</v>
      </c>
      <c r="B7" s="22">
        <f>[1]TransportB_EE!C57</f>
        <v>991.94677664276583</v>
      </c>
      <c r="C7" s="22">
        <f>[1]TransportB_EE!D57</f>
        <v>0.1</v>
      </c>
      <c r="D7" s="22">
        <f>[1]TransportB_EE!E57</f>
        <v>0</v>
      </c>
      <c r="E7" s="22">
        <f>[1]TransportB_EE!F57</f>
        <v>0.73</v>
      </c>
      <c r="F7" s="22">
        <f>[1]TransportB_EE!G57</f>
        <v>0.1</v>
      </c>
      <c r="G7" s="22">
        <f>[1]TransportB_EE!H57</f>
        <v>0</v>
      </c>
      <c r="H7" s="22">
        <f>[1]TransportB_EE!J57</f>
        <v>7.0000000000000007E-2</v>
      </c>
      <c r="I7" s="803">
        <f>[1]TransportB_EE!L57</f>
        <v>0</v>
      </c>
      <c r="J7" s="22">
        <f>[1]TransportB_EE!M57</f>
        <v>1</v>
      </c>
      <c r="K7" s="82"/>
      <c r="L7" s="86" t="s">
        <v>28</v>
      </c>
      <c r="M7" s="1111">
        <f>SUM(M5:M6,M8)*0.75*0.2</f>
        <v>2725.7595721396174</v>
      </c>
      <c r="N7" s="163">
        <f t="shared" ref="N7:S7" si="1">SUM(N5:N6,N8)*0.75*0.2</f>
        <v>57689.426461016927</v>
      </c>
      <c r="O7" s="163">
        <f t="shared" si="1"/>
        <v>44510.350733697327</v>
      </c>
      <c r="P7" s="163">
        <f t="shared" si="1"/>
        <v>4472.3848331329764</v>
      </c>
      <c r="Q7" s="163">
        <f t="shared" si="1"/>
        <v>6165.5203516972924</v>
      </c>
      <c r="R7" s="163">
        <f t="shared" si="1"/>
        <v>5046.7030459273847</v>
      </c>
      <c r="S7" s="163">
        <f t="shared" si="1"/>
        <v>0</v>
      </c>
      <c r="T7" s="164">
        <f t="shared" si="0"/>
        <v>120610.14499761153</v>
      </c>
    </row>
    <row r="8" spans="1:20">
      <c r="A8" s="26" t="s">
        <v>29</v>
      </c>
      <c r="B8" s="22">
        <f>[1]TransportB_EE!C58</f>
        <v>461.15756115976114</v>
      </c>
      <c r="C8" s="22">
        <f>[1]TransportB_EE!D58</f>
        <v>0.75</v>
      </c>
      <c r="D8" s="22">
        <f>[1]TransportB_EE!E58</f>
        <v>0</v>
      </c>
      <c r="E8" s="22">
        <f>[1]TransportB_EE!F58</f>
        <v>9.9999999999999978E-2</v>
      </c>
      <c r="F8" s="22">
        <f>[1]TransportB_EE!G58</f>
        <v>0</v>
      </c>
      <c r="G8" s="22">
        <f>[1]TransportB_EE!H58</f>
        <v>0</v>
      </c>
      <c r="H8" s="22">
        <f>[1]TransportB_EE!J58</f>
        <v>0.15</v>
      </c>
      <c r="I8" s="803">
        <f>[1]TransportB_EE!L58</f>
        <v>0</v>
      </c>
      <c r="J8" s="22">
        <f>[1]TransportB_EE!M58</f>
        <v>1</v>
      </c>
      <c r="K8" s="82"/>
      <c r="L8" s="86" t="s">
        <v>41</v>
      </c>
      <c r="M8" s="1111"/>
      <c r="N8" s="163">
        <f t="shared" ref="N8:S8" si="2">N5*0.1</f>
        <v>24889.805812473056</v>
      </c>
      <c r="O8" s="163">
        <f t="shared" si="2"/>
        <v>18848.498509468311</v>
      </c>
      <c r="P8" s="163">
        <f t="shared" si="2"/>
        <v>1841.5245985223039</v>
      </c>
      <c r="Q8" s="163">
        <f t="shared" si="2"/>
        <v>2880.981666043454</v>
      </c>
      <c r="R8" s="163">
        <f t="shared" si="2"/>
        <v>2399.0337335732406</v>
      </c>
      <c r="S8" s="163">
        <f t="shared" si="2"/>
        <v>0</v>
      </c>
      <c r="T8" s="164">
        <f t="shared" si="0"/>
        <v>50859.844320080359</v>
      </c>
    </row>
    <row r="9" spans="1:20">
      <c r="A9" s="28" t="s">
        <v>31</v>
      </c>
      <c r="B9" s="22">
        <f>[1]TransportB_EE!C59</f>
        <v>401.73745435145656</v>
      </c>
      <c r="C9" s="22">
        <f>[1]TransportB_EE!D59</f>
        <v>0</v>
      </c>
      <c r="D9" s="22">
        <f>[1]TransportB_EE!E59</f>
        <v>0</v>
      </c>
      <c r="E9" s="22">
        <f>[1]TransportB_EE!F59</f>
        <v>1</v>
      </c>
      <c r="F9" s="22">
        <f>[1]TransportB_EE!G59</f>
        <v>0</v>
      </c>
      <c r="G9" s="22">
        <f>[1]TransportB_EE!H59</f>
        <v>0</v>
      </c>
      <c r="H9" s="22">
        <f>[1]TransportB_EE!J59</f>
        <v>0</v>
      </c>
      <c r="I9" s="803">
        <f>[1]TransportB_EE!L59</f>
        <v>0</v>
      </c>
      <c r="J9" s="22">
        <f>[1]TransportB_EE!M59</f>
        <v>1</v>
      </c>
      <c r="K9" s="82"/>
      <c r="L9" s="86" t="s">
        <v>44</v>
      </c>
      <c r="M9" s="19">
        <f>SUM(M5:M8)</f>
        <v>20897.4900530704</v>
      </c>
      <c r="N9" s="163">
        <f t="shared" ref="N9:S9" si="3">SUM(N5:N8)</f>
        <v>442285.60286779638</v>
      </c>
      <c r="O9" s="163">
        <f t="shared" si="3"/>
        <v>341246.02229167946</v>
      </c>
      <c r="P9" s="163">
        <f t="shared" si="3"/>
        <v>34288.283720686144</v>
      </c>
      <c r="Q9" s="163">
        <f t="shared" si="3"/>
        <v>47268.989363012573</v>
      </c>
      <c r="R9" s="163">
        <f t="shared" si="3"/>
        <v>38691.390018776619</v>
      </c>
      <c r="S9" s="163">
        <f t="shared" si="3"/>
        <v>0</v>
      </c>
      <c r="T9" s="164">
        <f t="shared" si="0"/>
        <v>924677.77831502154</v>
      </c>
    </row>
    <row r="10" spans="1:20" ht="13.5" thickBot="1">
      <c r="A10" s="31" t="s">
        <v>17</v>
      </c>
      <c r="B10" s="22">
        <f>[1]TransportB_EE!C60</f>
        <v>20504.641393582111</v>
      </c>
      <c r="C10" s="22">
        <f>[1]TransportB_EE!D60</f>
        <v>608.37189371664476</v>
      </c>
      <c r="D10" s="22">
        <f>[1]TransportB_EE!E60</f>
        <v>9608.7679907714046</v>
      </c>
      <c r="E10" s="22">
        <f>[1]TransportB_EE!F60</f>
        <v>7659.5431763048964</v>
      </c>
      <c r="F10" s="22">
        <f>[1]TransportB_EE!G60</f>
        <v>891.70972983281979</v>
      </c>
      <c r="G10" s="22">
        <f>[1]TransportB_EE!H60</f>
        <v>980.48652967055182</v>
      </c>
      <c r="H10" s="22">
        <f>[1]TransportB_EE!J60</f>
        <v>755.76207328579028</v>
      </c>
      <c r="I10" s="22">
        <f>[1]TransportB_EE!L60</f>
        <v>0</v>
      </c>
      <c r="J10" s="22">
        <f>[1]TransportB_EE!M60</f>
        <v>20504.641393582104</v>
      </c>
      <c r="K10" s="82"/>
      <c r="L10" s="86"/>
      <c r="M10" s="1111"/>
      <c r="N10" s="163"/>
      <c r="O10" s="163"/>
      <c r="P10" s="163"/>
      <c r="Q10" s="163"/>
      <c r="R10" s="163"/>
      <c r="S10" s="163"/>
      <c r="T10" s="165"/>
    </row>
    <row r="11" spans="1:20">
      <c r="A11" s="35"/>
      <c r="B11" s="22">
        <f>[1]TransportB_EE!C61</f>
        <v>0</v>
      </c>
      <c r="C11" s="22" t="str">
        <f>[1]TransportB_EE!D61</f>
        <v>Electricity</v>
      </c>
      <c r="D11" s="22" t="str">
        <f>[1]TransportB_EE!E61</f>
        <v>Gasoline</v>
      </c>
      <c r="E11" s="22" t="str">
        <f>[1]TransportB_EE!F61</f>
        <v>Diesel</v>
      </c>
      <c r="F11" s="22" t="str">
        <f>[1]TransportB_EE!G61</f>
        <v>Natural gas</v>
      </c>
      <c r="G11" s="22" t="str">
        <f>[1]TransportB_EE!H61</f>
        <v>Ethanol</v>
      </c>
      <c r="H11" s="22" t="str">
        <f>[1]TransportB_EE!J61</f>
        <v>Biodiesel</v>
      </c>
      <c r="I11" s="22" t="str">
        <f>[1]TransportB_EE!L61</f>
        <v>Biogas</v>
      </c>
      <c r="J11" s="22" t="str">
        <f>[1]TransportB_EE!M61</f>
        <v>Total</v>
      </c>
      <c r="K11" s="88" t="s">
        <v>33</v>
      </c>
      <c r="L11" s="86" t="s">
        <v>24</v>
      </c>
      <c r="M11" s="1110">
        <f>C17*TJ_kytusehinnad!$N$13/1000</f>
        <v>9805.696146365075</v>
      </c>
      <c r="N11" s="163">
        <f>D17*[8]TJ_kytusehinnad!$N$8/1000</f>
        <v>0</v>
      </c>
      <c r="O11" s="163">
        <f>E17*[8]TJ_kytusehinnad!$N$7/1000</f>
        <v>390701.82653348218</v>
      </c>
      <c r="P11" s="163">
        <f>F17*[8]TJ_kytusehinnad!$N$12/1000</f>
        <v>19999.059917640046</v>
      </c>
      <c r="Q11" s="163">
        <f>G17*[8]TJ_kytusehinnad!$N$10/1000</f>
        <v>0</v>
      </c>
      <c r="R11" s="163">
        <f>H17*[8]TJ_kytusehinnad!$N$9/1000</f>
        <v>44713.032065832689</v>
      </c>
      <c r="S11" s="163">
        <f>I17*[8]TJ_kytusehinnad!$N$11/1000</f>
        <v>0</v>
      </c>
      <c r="T11" s="164">
        <f t="shared" si="0"/>
        <v>465219.61466332001</v>
      </c>
    </row>
    <row r="12" spans="1:20">
      <c r="A12" s="38" t="s">
        <v>34</v>
      </c>
      <c r="B12" s="22" t="str">
        <f>[1]TransportB_EE!C62</f>
        <v>TJ</v>
      </c>
      <c r="C12" s="22" t="str">
        <f>[1]TransportB_EE!D62</f>
        <v>%</v>
      </c>
      <c r="D12" s="22" t="str">
        <f>[1]TransportB_EE!E62</f>
        <v>%</v>
      </c>
      <c r="E12" s="22" t="str">
        <f>[1]TransportB_EE!F62</f>
        <v>%</v>
      </c>
      <c r="F12" s="22" t="str">
        <f>[1]TransportB_EE!G62</f>
        <v>%</v>
      </c>
      <c r="G12" s="22" t="str">
        <f>[1]TransportB_EE!H62</f>
        <v>%</v>
      </c>
      <c r="H12" s="22" t="str">
        <f>[1]TransportB_EE!J62</f>
        <v>%</v>
      </c>
      <c r="I12" s="22" t="str">
        <f>[1]TransportB_EE!L62</f>
        <v>%</v>
      </c>
      <c r="J12" s="22" t="str">
        <f>[1]TransportB_EE!M62</f>
        <v>%</v>
      </c>
      <c r="K12" s="82"/>
      <c r="L12" s="86" t="s">
        <v>26</v>
      </c>
      <c r="M12" s="1110">
        <f>C17*TJ_kytusehinnad!$N$24/1000</f>
        <v>0</v>
      </c>
      <c r="N12" s="163">
        <f>D17*[8]TJ_kytusehinnad!$N$18/1000</f>
        <v>0</v>
      </c>
      <c r="O12" s="163">
        <f>E17*[8]TJ_kytusehinnad!$N$17/1000</f>
        <v>185317.6692674215</v>
      </c>
      <c r="P12" s="163">
        <f>F17*[8]TJ_kytusehinnad!$N$23/1000</f>
        <v>10381.266688572347</v>
      </c>
      <c r="Q12" s="163">
        <f>G17*[8]TJ_kytusehinnad!$N$21/1000</f>
        <v>0</v>
      </c>
      <c r="R12" s="163">
        <f>H17*[8]TJ_kytusehinnad!$N$20/1000</f>
        <v>13522.409797868997</v>
      </c>
      <c r="S12" s="163">
        <f>I17*[8]TJ_kytusehinnad!$N$22/1000</f>
        <v>0</v>
      </c>
      <c r="T12" s="164">
        <f t="shared" si="0"/>
        <v>209221.34575386287</v>
      </c>
    </row>
    <row r="13" spans="1:20">
      <c r="A13" s="26" t="s">
        <v>35</v>
      </c>
      <c r="B13" s="22">
        <f>[1]TransportB_EE!C63</f>
        <v>17496.600458235265</v>
      </c>
      <c r="C13" s="22">
        <f>[1]TransportB_EE!D63</f>
        <v>0.02</v>
      </c>
      <c r="D13" s="22">
        <f>[1]TransportB_EE!E63</f>
        <v>0</v>
      </c>
      <c r="E13" s="22">
        <f>[1]TransportB_EE!F63</f>
        <v>0.85</v>
      </c>
      <c r="F13" s="22">
        <f>[1]TransportB_EE!G63</f>
        <v>0.05</v>
      </c>
      <c r="G13" s="22">
        <f>[1]TransportB_EE!H63</f>
        <v>0</v>
      </c>
      <c r="H13" s="22">
        <f>[1]TransportB_EE!J63</f>
        <v>0.08</v>
      </c>
      <c r="I13" s="803">
        <f>[1]TransportB_EE!L63</f>
        <v>0</v>
      </c>
      <c r="J13" s="22">
        <f>[1]TransportB_EE!M63</f>
        <v>1</v>
      </c>
      <c r="K13" s="82"/>
      <c r="L13" s="86" t="s">
        <v>28</v>
      </c>
      <c r="M13" s="1111"/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4">
        <f t="shared" si="0"/>
        <v>0</v>
      </c>
    </row>
    <row r="14" spans="1:20">
      <c r="A14" s="26" t="s">
        <v>36</v>
      </c>
      <c r="B14" s="22">
        <f>[1]TransportB_EE!C64</f>
        <v>1085.7843682015807</v>
      </c>
      <c r="C14" s="22">
        <f>[1]TransportB_EE!D64</f>
        <v>0.3</v>
      </c>
      <c r="D14" s="22">
        <f>[1]TransportB_EE!E64</f>
        <v>0</v>
      </c>
      <c r="E14" s="22">
        <f>[1]TransportB_EE!F64</f>
        <v>0.7</v>
      </c>
      <c r="F14" s="22">
        <f>[1]TransportB_EE!G64</f>
        <v>0</v>
      </c>
      <c r="G14" s="22">
        <f>[1]TransportB_EE!H64</f>
        <v>0</v>
      </c>
      <c r="H14" s="22">
        <f>[1]TransportB_EE!J64</f>
        <v>0</v>
      </c>
      <c r="I14" s="803">
        <f>[1]TransportB_EE!L64</f>
        <v>0</v>
      </c>
      <c r="J14" s="22">
        <f>[1]TransportB_EE!M64</f>
        <v>1</v>
      </c>
      <c r="K14" s="82"/>
      <c r="L14" s="86" t="s">
        <v>41</v>
      </c>
      <c r="M14" s="1111"/>
      <c r="N14" s="163">
        <f t="shared" ref="N14:S14" si="4">N11*0.1</f>
        <v>0</v>
      </c>
      <c r="O14" s="163">
        <f t="shared" si="4"/>
        <v>39070.182653348216</v>
      </c>
      <c r="P14" s="163">
        <f t="shared" si="4"/>
        <v>1999.9059917640047</v>
      </c>
      <c r="Q14" s="163">
        <f t="shared" si="4"/>
        <v>0</v>
      </c>
      <c r="R14" s="163">
        <f t="shared" si="4"/>
        <v>4471.3032065832695</v>
      </c>
      <c r="S14" s="163">
        <f t="shared" si="4"/>
        <v>0</v>
      </c>
      <c r="T14" s="164">
        <f t="shared" si="0"/>
        <v>45541.391851695487</v>
      </c>
    </row>
    <row r="15" spans="1:20" ht="13.5" thickBot="1">
      <c r="A15" s="26" t="s">
        <v>37</v>
      </c>
      <c r="B15" s="22">
        <f>[1]TransportB_EE!C65</f>
        <v>0</v>
      </c>
      <c r="C15" s="22">
        <f>[1]TransportB_EE!D65</f>
        <v>0</v>
      </c>
      <c r="D15" s="22">
        <f>[1]TransportB_EE!E65</f>
        <v>0</v>
      </c>
      <c r="E15" s="22">
        <f>[1]TransportB_EE!F65</f>
        <v>1</v>
      </c>
      <c r="F15" s="22">
        <f>[1]TransportB_EE!G65</f>
        <v>0</v>
      </c>
      <c r="G15" s="22">
        <f>[1]TransportB_EE!H65</f>
        <v>0</v>
      </c>
      <c r="H15" s="22">
        <f>[1]TransportB_EE!J65</f>
        <v>0</v>
      </c>
      <c r="I15" s="803">
        <f>[1]TransportB_EE!L65</f>
        <v>0</v>
      </c>
      <c r="J15" s="22">
        <f>[1]TransportB_EE!M65</f>
        <v>1</v>
      </c>
      <c r="K15" s="82"/>
      <c r="L15" s="86" t="s">
        <v>45</v>
      </c>
      <c r="M15" s="89">
        <f>SUM(M11:M14)</f>
        <v>9805.696146365075</v>
      </c>
      <c r="N15" s="163">
        <f t="shared" ref="N15:S15" si="5">SUM(N11:N14)</f>
        <v>0</v>
      </c>
      <c r="O15" s="163">
        <f t="shared" si="5"/>
        <v>615089.67845425184</v>
      </c>
      <c r="P15" s="163">
        <f t="shared" si="5"/>
        <v>32380.232597976399</v>
      </c>
      <c r="Q15" s="163">
        <f t="shared" si="5"/>
        <v>0</v>
      </c>
      <c r="R15" s="163">
        <f t="shared" si="5"/>
        <v>62706.745070284953</v>
      </c>
      <c r="S15" s="163">
        <f t="shared" si="5"/>
        <v>0</v>
      </c>
      <c r="T15" s="164">
        <f t="shared" si="0"/>
        <v>719982.35226887814</v>
      </c>
    </row>
    <row r="16" spans="1:20">
      <c r="A16" s="26" t="s">
        <v>38</v>
      </c>
      <c r="B16" s="22">
        <f>[1]TransportB_EE!C66</f>
        <v>0</v>
      </c>
      <c r="C16" s="22">
        <f>[1]TransportB_EE!D66</f>
        <v>0</v>
      </c>
      <c r="D16" s="22">
        <f>[1]TransportB_EE!E66</f>
        <v>0</v>
      </c>
      <c r="E16" s="22">
        <f>[1]TransportB_EE!F66</f>
        <v>1</v>
      </c>
      <c r="F16" s="22">
        <f>[1]TransportB_EE!G66</f>
        <v>0</v>
      </c>
      <c r="G16" s="22">
        <f>[1]TransportB_EE!H66</f>
        <v>0</v>
      </c>
      <c r="H16" s="22">
        <f>[1]TransportB_EE!J66</f>
        <v>0</v>
      </c>
      <c r="I16" s="803">
        <f>[1]TransportB_EE!L66</f>
        <v>0</v>
      </c>
      <c r="J16" s="22">
        <f>[1]TransportB_EE!M66</f>
        <v>1</v>
      </c>
      <c r="K16" s="78" t="s">
        <v>19</v>
      </c>
      <c r="L16" s="79"/>
      <c r="M16" s="1112"/>
      <c r="N16" s="166"/>
      <c r="O16" s="166"/>
      <c r="P16" s="166"/>
      <c r="Q16" s="166"/>
      <c r="R16" s="166"/>
      <c r="S16" s="166"/>
      <c r="T16" s="167"/>
    </row>
    <row r="17" spans="1:20" ht="13.5" thickBot="1">
      <c r="A17" s="41" t="s">
        <v>17</v>
      </c>
      <c r="B17" s="22">
        <f>[1]TransportB_EE!C67</f>
        <v>18582.384826436846</v>
      </c>
      <c r="C17" s="22">
        <f>[1]TransportB_EE!D67</f>
        <v>328.28518670988808</v>
      </c>
      <c r="D17" s="22">
        <f>[1]TransportB_EE!E67</f>
        <v>0</v>
      </c>
      <c r="E17" s="22">
        <f>[1]TransportB_EE!F67</f>
        <v>15877.113542445297</v>
      </c>
      <c r="F17" s="22">
        <f>[1]TransportB_EE!G67</f>
        <v>968.40174333697269</v>
      </c>
      <c r="G17" s="22">
        <f>[1]TransportB_EE!H67</f>
        <v>0</v>
      </c>
      <c r="H17" s="22">
        <f>[1]TransportB_EE!J67</f>
        <v>1408.5843539446871</v>
      </c>
      <c r="I17" s="22">
        <f>[1]TransportB_EE!L67</f>
        <v>0</v>
      </c>
      <c r="J17" s="22">
        <f>[1]TransportB_EE!M67</f>
        <v>18582.384826436846</v>
      </c>
      <c r="K17" s="88" t="s">
        <v>90</v>
      </c>
      <c r="L17" s="86" t="s">
        <v>24</v>
      </c>
      <c r="M17" s="1111">
        <f>M5+M11</f>
        <v>27977.426627295856</v>
      </c>
      <c r="N17" s="163">
        <f t="shared" ref="N17:S17" si="6">N5+N11</f>
        <v>248898.05812473054</v>
      </c>
      <c r="O17" s="163">
        <f t="shared" si="6"/>
        <v>579186.81162816531</v>
      </c>
      <c r="P17" s="163">
        <f t="shared" si="6"/>
        <v>38414.305902863081</v>
      </c>
      <c r="Q17" s="163">
        <f t="shared" si="6"/>
        <v>28809.816660434539</v>
      </c>
      <c r="R17" s="163">
        <f t="shared" si="6"/>
        <v>68703.369401565098</v>
      </c>
      <c r="S17" s="163">
        <f t="shared" si="6"/>
        <v>0</v>
      </c>
      <c r="T17" s="164">
        <f t="shared" si="0"/>
        <v>991989.78834505437</v>
      </c>
    </row>
    <row r="18" spans="1:20">
      <c r="A18" s="26"/>
      <c r="B18" s="22">
        <f>[1]TransportB_EE!C68</f>
        <v>0</v>
      </c>
      <c r="C18" s="22" t="str">
        <f>[1]TransportB_EE!D68</f>
        <v>Electricity</v>
      </c>
      <c r="D18" s="22" t="str">
        <f>[1]TransportB_EE!E68</f>
        <v>Gasoline</v>
      </c>
      <c r="E18" s="22" t="str">
        <f>[1]TransportB_EE!F68</f>
        <v>Diesel</v>
      </c>
      <c r="F18" s="22" t="str">
        <f>[1]TransportB_EE!G68</f>
        <v>Natural gas</v>
      </c>
      <c r="G18" s="22" t="str">
        <f>[1]TransportB_EE!H68</f>
        <v>Ethanol</v>
      </c>
      <c r="H18" s="22" t="str">
        <f>[1]TransportB_EE!J68</f>
        <v>Biodiesel</v>
      </c>
      <c r="I18" s="22" t="str">
        <f>[1]TransportB_EE!L68</f>
        <v>Biogas</v>
      </c>
      <c r="J18" s="22" t="str">
        <f>[1]TransportB_EE!M68</f>
        <v>Total</v>
      </c>
      <c r="K18" s="82"/>
      <c r="L18" s="86" t="s">
        <v>26</v>
      </c>
      <c r="M18" s="1111">
        <f>M6+M12</f>
        <v>0</v>
      </c>
      <c r="N18" s="163">
        <f t="shared" ref="N18:S21" si="7">N6+N12</f>
        <v>110808.31246957583</v>
      </c>
      <c r="O18" s="163">
        <f t="shared" si="7"/>
        <v>274719.85722125228</v>
      </c>
      <c r="P18" s="163">
        <f t="shared" si="7"/>
        <v>19940.394992380177</v>
      </c>
      <c r="Q18" s="163">
        <f t="shared" si="7"/>
        <v>9412.670684837296</v>
      </c>
      <c r="R18" s="163">
        <f t="shared" si="7"/>
        <v>20777.725701412583</v>
      </c>
      <c r="S18" s="163">
        <f t="shared" si="7"/>
        <v>0</v>
      </c>
      <c r="T18" s="164">
        <f t="shared" si="0"/>
        <v>435658.96106945816</v>
      </c>
    </row>
    <row r="19" spans="1:20">
      <c r="A19" s="42"/>
      <c r="B19" s="22" t="str">
        <f>[1]TransportB_EE!C69</f>
        <v>TJ</v>
      </c>
      <c r="C19" s="22" t="str">
        <f>[1]TransportB_EE!D69</f>
        <v>%</v>
      </c>
      <c r="D19" s="22" t="str">
        <f>[1]TransportB_EE!E69</f>
        <v>%</v>
      </c>
      <c r="E19" s="22" t="str">
        <f>[1]TransportB_EE!F69</f>
        <v>%</v>
      </c>
      <c r="F19" s="22" t="str">
        <f>[1]TransportB_EE!G69</f>
        <v>%</v>
      </c>
      <c r="G19" s="22" t="str">
        <f>[1]TransportB_EE!H69</f>
        <v>%</v>
      </c>
      <c r="H19" s="22" t="str">
        <f>[1]TransportB_EE!J69</f>
        <v>%</v>
      </c>
      <c r="I19" s="22">
        <f>[1]TransportB_EE!L69</f>
        <v>0</v>
      </c>
      <c r="J19" s="22" t="str">
        <f>[1]TransportB_EE!M69</f>
        <v>%</v>
      </c>
      <c r="K19" s="82"/>
      <c r="L19" s="86" t="s">
        <v>28</v>
      </c>
      <c r="M19" s="1111">
        <f>M7+M13</f>
        <v>2725.7595721396174</v>
      </c>
      <c r="N19" s="163">
        <f t="shared" si="7"/>
        <v>57689.426461016927</v>
      </c>
      <c r="O19" s="163">
        <f t="shared" si="7"/>
        <v>44510.350733697327</v>
      </c>
      <c r="P19" s="163">
        <f t="shared" si="7"/>
        <v>4472.3848331329764</v>
      </c>
      <c r="Q19" s="163">
        <f t="shared" si="7"/>
        <v>6165.5203516972924</v>
      </c>
      <c r="R19" s="163">
        <f t="shared" si="7"/>
        <v>5046.7030459273847</v>
      </c>
      <c r="S19" s="163">
        <f t="shared" si="7"/>
        <v>0</v>
      </c>
      <c r="T19" s="164">
        <f t="shared" si="0"/>
        <v>120610.14499761153</v>
      </c>
    </row>
    <row r="20" spans="1:20" ht="12.75" customHeight="1">
      <c r="A20" s="1160" t="s">
        <v>40</v>
      </c>
      <c r="B20" s="22">
        <f>[1]TransportB_EE!C70</f>
        <v>39087.026220018961</v>
      </c>
      <c r="C20" s="22">
        <f>[1]TransportB_EE!D70</f>
        <v>5.2529454061642021E-2</v>
      </c>
      <c r="D20" s="22">
        <f>[1]TransportB_EE!E70</f>
        <v>0.23379629223415885</v>
      </c>
      <c r="E20" s="22">
        <f>[1]TransportB_EE!F70</f>
        <v>0.5921418922703624</v>
      </c>
      <c r="F20" s="22">
        <f>[1]TransportB_EE!G70</f>
        <v>4.4004797779991625E-2</v>
      </c>
      <c r="G20" s="22">
        <f>[1]TransportB_EE!H70</f>
        <v>2.385676451368968E-2</v>
      </c>
      <c r="H20" s="22">
        <f>[1]TransportB_EE!J70</f>
        <v>5.3670799140155337E-2</v>
      </c>
      <c r="I20" s="22">
        <f>[1]TransportB_EE!L70</f>
        <v>0</v>
      </c>
      <c r="J20" s="22">
        <f>[1]TransportB_EE!M70</f>
        <v>1</v>
      </c>
      <c r="K20" s="82"/>
      <c r="L20" s="86" t="s">
        <v>41</v>
      </c>
      <c r="M20" s="1111">
        <f>M8+M14</f>
        <v>0</v>
      </c>
      <c r="N20" s="163">
        <f t="shared" si="7"/>
        <v>24889.805812473056</v>
      </c>
      <c r="O20" s="163">
        <f t="shared" si="7"/>
        <v>57918.681162816531</v>
      </c>
      <c r="P20" s="163">
        <f t="shared" si="7"/>
        <v>3841.4305902863089</v>
      </c>
      <c r="Q20" s="163">
        <f t="shared" si="7"/>
        <v>2880.981666043454</v>
      </c>
      <c r="R20" s="163">
        <f t="shared" si="7"/>
        <v>6870.3369401565105</v>
      </c>
      <c r="S20" s="163">
        <f t="shared" si="7"/>
        <v>0</v>
      </c>
      <c r="T20" s="164">
        <f t="shared" si="0"/>
        <v>96401.236171775876</v>
      </c>
    </row>
    <row r="21" spans="1:20" ht="13.5" thickBot="1">
      <c r="A21" s="1161"/>
      <c r="B21" s="22">
        <f>[1]TransportB_EE!C71</f>
        <v>0</v>
      </c>
      <c r="C21" s="22">
        <f>[1]TransportB_EE!D71</f>
        <v>936.65708042653284</v>
      </c>
      <c r="D21" s="22">
        <f>[1]TransportB_EE!E71</f>
        <v>9608.7679907714046</v>
      </c>
      <c r="E21" s="22">
        <f>[1]TransportB_EE!F71</f>
        <v>23536.656718750193</v>
      </c>
      <c r="F21" s="22">
        <f>[1]TransportB_EE!G71</f>
        <v>1860.1114731697926</v>
      </c>
      <c r="G21" s="22">
        <f>[1]TransportB_EE!H71</f>
        <v>980.48652967055182</v>
      </c>
      <c r="H21" s="22">
        <f>[1]TransportB_EE!J71</f>
        <v>2164.3464272304773</v>
      </c>
      <c r="I21" s="22">
        <f>[1]TransportB_EE!L71</f>
        <v>0</v>
      </c>
      <c r="J21" s="22">
        <f>[1]TransportB_EE!M71</f>
        <v>39087.026220018946</v>
      </c>
      <c r="K21" s="93"/>
      <c r="L21" s="94" t="s">
        <v>32</v>
      </c>
      <c r="M21" s="1113">
        <f>M9+M15</f>
        <v>30703.186199435477</v>
      </c>
      <c r="N21" s="168">
        <f t="shared" si="7"/>
        <v>442285.60286779638</v>
      </c>
      <c r="O21" s="168">
        <f t="shared" si="7"/>
        <v>956335.70074593136</v>
      </c>
      <c r="P21" s="168">
        <f t="shared" si="7"/>
        <v>66668.516318662543</v>
      </c>
      <c r="Q21" s="168">
        <f t="shared" si="7"/>
        <v>47268.989363012573</v>
      </c>
      <c r="R21" s="168">
        <f t="shared" si="7"/>
        <v>101398.13508906157</v>
      </c>
      <c r="S21" s="168">
        <f t="shared" si="7"/>
        <v>0</v>
      </c>
      <c r="T21" s="169">
        <f t="shared" si="0"/>
        <v>1644660.1305839</v>
      </c>
    </row>
    <row r="22" spans="1:20" ht="13.5" thickBot="1">
      <c r="K22" s="77"/>
      <c r="L22" s="77"/>
      <c r="M22" s="1114"/>
      <c r="N22" s="170"/>
      <c r="O22" s="170"/>
      <c r="P22" s="170"/>
      <c r="Q22" s="170"/>
      <c r="R22" s="170"/>
      <c r="S22" s="170"/>
      <c r="T22" s="170"/>
    </row>
    <row r="23" spans="1:20" ht="20.25">
      <c r="A23" s="55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78" t="s">
        <v>76</v>
      </c>
      <c r="L23" s="80"/>
      <c r="M23" s="1112"/>
      <c r="N23" s="166"/>
      <c r="O23" s="166"/>
      <c r="P23" s="166"/>
      <c r="Q23" s="166"/>
      <c r="R23" s="166"/>
      <c r="S23" s="166"/>
      <c r="T23" s="167"/>
    </row>
    <row r="24" spans="1:20">
      <c r="A24" s="8" t="s">
        <v>76</v>
      </c>
      <c r="B24" s="9"/>
      <c r="C24" s="9" t="s">
        <v>11</v>
      </c>
      <c r="D24" s="9" t="s">
        <v>12</v>
      </c>
      <c r="E24" s="9" t="s">
        <v>13</v>
      </c>
      <c r="F24" s="9" t="s">
        <v>7</v>
      </c>
      <c r="G24" s="9" t="s">
        <v>14</v>
      </c>
      <c r="H24" s="9" t="s">
        <v>15</v>
      </c>
      <c r="I24" s="9" t="s">
        <v>16</v>
      </c>
      <c r="J24" s="9" t="s">
        <v>17</v>
      </c>
      <c r="K24" s="82"/>
      <c r="L24" s="84"/>
      <c r="M24" s="1110" t="s">
        <v>11</v>
      </c>
      <c r="N24" s="171" t="s">
        <v>12</v>
      </c>
      <c r="O24" s="171" t="s">
        <v>13</v>
      </c>
      <c r="P24" s="171" t="s">
        <v>7</v>
      </c>
      <c r="Q24" s="171" t="s">
        <v>18</v>
      </c>
      <c r="R24" s="171" t="s">
        <v>15</v>
      </c>
      <c r="S24" s="171" t="s">
        <v>16</v>
      </c>
      <c r="T24" s="164" t="s">
        <v>19</v>
      </c>
    </row>
    <row r="25" spans="1:20">
      <c r="A25" s="15" t="s">
        <v>20</v>
      </c>
      <c r="B25" s="16" t="s">
        <v>21</v>
      </c>
      <c r="C25" s="16" t="s">
        <v>22</v>
      </c>
      <c r="D25" s="16" t="s">
        <v>22</v>
      </c>
      <c r="E25" s="16" t="s">
        <v>22</v>
      </c>
      <c r="F25" s="16" t="s">
        <v>22</v>
      </c>
      <c r="G25" s="16" t="s">
        <v>22</v>
      </c>
      <c r="H25" s="16" t="s">
        <v>22</v>
      </c>
      <c r="I25" s="16" t="s">
        <v>22</v>
      </c>
      <c r="J25" s="16" t="s">
        <v>22</v>
      </c>
      <c r="K25" s="88" t="s">
        <v>23</v>
      </c>
      <c r="L25" s="86" t="s">
        <v>24</v>
      </c>
      <c r="M25" s="1110">
        <f>C30*TJ_kytusehinnad!$N$13/1000</f>
        <v>46540.774821870109</v>
      </c>
      <c r="N25" s="163">
        <f>D30*[8]TJ_kytusehinnad!$N$8/1000</f>
        <v>38962.914525173554</v>
      </c>
      <c r="O25" s="163">
        <f>E30*[8]TJ_kytusehinnad!$N$7/1000</f>
        <v>42134.150618690735</v>
      </c>
      <c r="P25" s="163">
        <f>F30*[8]TJ_kytusehinnad!$N$12/1000</f>
        <v>22862.187366074428</v>
      </c>
      <c r="Q25" s="163">
        <f>G30*[8]TJ_kytusehinnad!$N$10/1000</f>
        <v>12999.228583712757</v>
      </c>
      <c r="R25" s="163">
        <f>H30*[8]TJ_kytusehinnad!$N$9/1000</f>
        <v>0</v>
      </c>
      <c r="S25" s="163">
        <f>I30*[8]TJ_kytusehinnad!$N$11/1000</f>
        <v>97963.596891240726</v>
      </c>
      <c r="T25" s="165">
        <f>SUM(M25:S25)</f>
        <v>261462.85280676233</v>
      </c>
    </row>
    <row r="26" spans="1:20">
      <c r="A26" s="21" t="s">
        <v>25</v>
      </c>
      <c r="B26" s="22">
        <f>[1]TransportB_EE!Q56</f>
        <v>7561.3362631333412</v>
      </c>
      <c r="C26" s="22">
        <f>[1]TransportB_EE!R56</f>
        <v>0.25</v>
      </c>
      <c r="D26" s="22">
        <f>[1]TransportB_EE!S56</f>
        <v>0.17</v>
      </c>
      <c r="E26" s="22">
        <f>[1]TransportB_EE!T56</f>
        <v>0.17999999999999994</v>
      </c>
      <c r="F26" s="22">
        <f>[1]TransportB_EE!U56</f>
        <v>0.1</v>
      </c>
      <c r="G26" s="22">
        <f>[1]TransportB_EE!V56</f>
        <v>0.05</v>
      </c>
      <c r="H26" s="22">
        <f>[1]TransportB_EE!X56</f>
        <v>0</v>
      </c>
      <c r="I26" s="22">
        <f>[1]TransportB_EE!Z56</f>
        <v>0.25</v>
      </c>
      <c r="J26" s="22">
        <f>[1]TransportB_EE!AA56</f>
        <v>1</v>
      </c>
      <c r="K26" s="82"/>
      <c r="L26" s="86" t="s">
        <v>26</v>
      </c>
      <c r="M26" s="1110">
        <f>C30*TJ_kytusehinnad!$N$24/1000</f>
        <v>0</v>
      </c>
      <c r="N26" s="163">
        <f>D30*[8]TJ_kytusehinnad!$N$18/1000</f>
        <v>17346.116879976682</v>
      </c>
      <c r="O26" s="163">
        <f>E30*[8]TJ_kytusehinnad!$N$17/1000</f>
        <v>19985.06804664019</v>
      </c>
      <c r="P26" s="163">
        <f>F30*[8]TJ_kytusehinnad!$N$23/1000</f>
        <v>11867.481027044932</v>
      </c>
      <c r="Q26" s="163">
        <f>G30*[8]TJ_kytusehinnad!$N$21/1000</f>
        <v>4247.0751986231689</v>
      </c>
      <c r="R26" s="163">
        <f>H30*[8]TJ_kytusehinnad!$N$20/1000</f>
        <v>0</v>
      </c>
      <c r="S26" s="163">
        <f>I30*[8]TJ_kytusehinnad!$N$22/1000</f>
        <v>0</v>
      </c>
      <c r="T26" s="165">
        <f>SUM(M26:S26)</f>
        <v>53445.741152284972</v>
      </c>
    </row>
    <row r="27" spans="1:20">
      <c r="A27" s="26" t="s">
        <v>27</v>
      </c>
      <c r="B27" s="22">
        <f>[1]TransportB_EE!Q57</f>
        <v>515.52726481043624</v>
      </c>
      <c r="C27" s="22">
        <f>[1]TransportB_EE!R57</f>
        <v>0.35</v>
      </c>
      <c r="D27" s="22">
        <f>[1]TransportB_EE!S57</f>
        <v>0</v>
      </c>
      <c r="E27" s="22">
        <f>[1]TransportB_EE!T57</f>
        <v>0</v>
      </c>
      <c r="F27" s="22">
        <f>[1]TransportB_EE!U57</f>
        <v>0.2</v>
      </c>
      <c r="G27" s="22">
        <f>[1]TransportB_EE!V57</f>
        <v>0</v>
      </c>
      <c r="H27" s="22">
        <f>[1]TransportB_EE!X57</f>
        <v>0</v>
      </c>
      <c r="I27" s="22">
        <f>[1]TransportB_EE!Z57</f>
        <v>0.45</v>
      </c>
      <c r="J27" s="22">
        <f>[1]TransportB_EE!AA57</f>
        <v>1</v>
      </c>
      <c r="K27" s="82"/>
      <c r="L27" s="86" t="s">
        <v>28</v>
      </c>
      <c r="M27" s="19">
        <f>SUM(M25:M26,M28)*0.75*0.2</f>
        <v>6981.1162232805164</v>
      </c>
      <c r="N27" s="163">
        <f t="shared" ref="N27:S27" si="8">SUM(N25:N26,N28)*0.75*0.2</f>
        <v>9030.7984286501396</v>
      </c>
      <c r="O27" s="163">
        <f t="shared" si="8"/>
        <v>9949.8950590800014</v>
      </c>
      <c r="P27" s="163">
        <f t="shared" si="8"/>
        <v>5552.3830694590215</v>
      </c>
      <c r="Q27" s="163">
        <f t="shared" si="8"/>
        <v>2781.9339961060805</v>
      </c>
      <c r="R27" s="163">
        <f t="shared" si="8"/>
        <v>0</v>
      </c>
      <c r="S27" s="163">
        <f t="shared" si="8"/>
        <v>16163.993487054722</v>
      </c>
      <c r="T27" s="164">
        <f>SUM(M27:S27)</f>
        <v>50460.120263630481</v>
      </c>
    </row>
    <row r="28" spans="1:20">
      <c r="A28" s="26" t="s">
        <v>29</v>
      </c>
      <c r="B28" s="22">
        <f>[1]TransportB_EE!Q58</f>
        <v>724.82637585466875</v>
      </c>
      <c r="C28" s="22">
        <f>[1]TransportB_EE!R58</f>
        <v>0.85</v>
      </c>
      <c r="D28" s="22">
        <f>[1]TransportB_EE!S58</f>
        <v>0</v>
      </c>
      <c r="E28" s="22">
        <f>[1]TransportB_EE!T58</f>
        <v>0</v>
      </c>
      <c r="F28" s="22">
        <f>[1]TransportB_EE!U58</f>
        <v>0</v>
      </c>
      <c r="G28" s="22">
        <f>[1]TransportB_EE!V58</f>
        <v>0</v>
      </c>
      <c r="H28" s="22">
        <f>[1]TransportB_EE!X58</f>
        <v>0</v>
      </c>
      <c r="I28" s="22">
        <f>[1]TransportB_EE!Z58</f>
        <v>0.15</v>
      </c>
      <c r="J28" s="22">
        <f>[1]TransportB_EE!AA58</f>
        <v>1</v>
      </c>
      <c r="K28" s="82"/>
      <c r="L28" s="86" t="s">
        <v>41</v>
      </c>
      <c r="M28" s="1111"/>
      <c r="N28" s="163">
        <f t="shared" ref="N28:S28" si="9">N25*0.1</f>
        <v>3896.2914525173555</v>
      </c>
      <c r="O28" s="163">
        <f t="shared" si="9"/>
        <v>4213.4150618690737</v>
      </c>
      <c r="P28" s="163">
        <f t="shared" si="9"/>
        <v>2286.2187366074427</v>
      </c>
      <c r="Q28" s="163">
        <f t="shared" si="9"/>
        <v>1299.9228583712757</v>
      </c>
      <c r="R28" s="163">
        <f t="shared" si="9"/>
        <v>0</v>
      </c>
      <c r="S28" s="163">
        <f t="shared" si="9"/>
        <v>9796.3596891240722</v>
      </c>
      <c r="T28" s="164">
        <f>SUM(M28:S28)</f>
        <v>21492.20779848922</v>
      </c>
    </row>
    <row r="29" spans="1:20">
      <c r="A29" s="28" t="s">
        <v>31</v>
      </c>
      <c r="B29" s="22">
        <f>[1]TransportB_EE!Q59</f>
        <v>363.54356669922862</v>
      </c>
      <c r="C29" s="22">
        <f>[1]TransportB_EE!R59</f>
        <v>0</v>
      </c>
      <c r="D29" s="22">
        <f>[1]TransportB_EE!S59</f>
        <v>0</v>
      </c>
      <c r="E29" s="22">
        <f>[1]TransportB_EE!T59</f>
        <v>0.5</v>
      </c>
      <c r="F29" s="22">
        <f>[1]TransportB_EE!U59</f>
        <v>0.2</v>
      </c>
      <c r="G29" s="22">
        <f>[1]TransportB_EE!V59</f>
        <v>0</v>
      </c>
      <c r="H29" s="22">
        <f>[1]TransportB_EE!X59</f>
        <v>0</v>
      </c>
      <c r="I29" s="22">
        <f>[1]TransportB_EE!Z59</f>
        <v>0.3</v>
      </c>
      <c r="J29" s="22">
        <f>[1]TransportB_EE!AA59</f>
        <v>1</v>
      </c>
      <c r="K29" s="82"/>
      <c r="L29" s="86" t="s">
        <v>44</v>
      </c>
      <c r="M29" s="30">
        <f>SUM(M25:M28)</f>
        <v>53521.891045150624</v>
      </c>
      <c r="N29" s="171">
        <f t="shared" ref="N29:S29" si="10">SUM(N25:N28)</f>
        <v>69236.121286317735</v>
      </c>
      <c r="O29" s="171">
        <f t="shared" si="10"/>
        <v>76282.528786280003</v>
      </c>
      <c r="P29" s="171">
        <f t="shared" si="10"/>
        <v>42568.270199185827</v>
      </c>
      <c r="Q29" s="171">
        <f t="shared" si="10"/>
        <v>21328.160636813282</v>
      </c>
      <c r="R29" s="171">
        <f t="shared" si="10"/>
        <v>0</v>
      </c>
      <c r="S29" s="171">
        <f t="shared" si="10"/>
        <v>123923.95006741953</v>
      </c>
      <c r="T29" s="164">
        <f>SUM(M29:S29)</f>
        <v>386860.922021167</v>
      </c>
    </row>
    <row r="30" spans="1:20" ht="13.5" thickBot="1">
      <c r="A30" s="31" t="s">
        <v>17</v>
      </c>
      <c r="B30" s="22">
        <f>[1]TransportB_EE!Q60</f>
        <v>9165.2334704976747</v>
      </c>
      <c r="C30" s="22">
        <f>[1]TransportB_EE!R60</f>
        <v>1558.1399549775169</v>
      </c>
      <c r="D30" s="22">
        <f>[1]TransportB_EE!S60</f>
        <v>1504.1724661790395</v>
      </c>
      <c r="E30" s="22">
        <f>[1]TransportB_EE!T60</f>
        <v>1712.2231020082411</v>
      </c>
      <c r="F30" s="22">
        <f>[1]TransportB_EE!U60</f>
        <v>1107.0411405825498</v>
      </c>
      <c r="G30" s="22">
        <f>[1]TransportB_EE!V60</f>
        <v>442.40366652324684</v>
      </c>
      <c r="H30" s="22">
        <f>[1]TransportB_EE!X60</f>
        <v>0</v>
      </c>
      <c r="I30" s="22">
        <f>[1]TransportB_EE!Z60</f>
        <v>2841.2531402270811</v>
      </c>
      <c r="J30" s="22">
        <f>[1]TransportB_EE!AA60</f>
        <v>9165.2334704976747</v>
      </c>
      <c r="K30" s="82"/>
      <c r="L30" s="84"/>
      <c r="M30" s="1111"/>
      <c r="N30" s="163"/>
      <c r="O30" s="163"/>
      <c r="P30" s="163"/>
      <c r="Q30" s="163"/>
      <c r="R30" s="163"/>
      <c r="S30" s="163"/>
      <c r="T30" s="165"/>
    </row>
    <row r="31" spans="1:20">
      <c r="A31" s="35"/>
      <c r="B31" s="22">
        <f>[1]TransportB_EE!Q61</f>
        <v>0</v>
      </c>
      <c r="C31" s="22" t="str">
        <f>[1]TransportB_EE!R61</f>
        <v>Electricity</v>
      </c>
      <c r="D31" s="22" t="str">
        <f>[1]TransportB_EE!S61</f>
        <v>Gasoline</v>
      </c>
      <c r="E31" s="22" t="str">
        <f>[1]TransportB_EE!T61</f>
        <v>Diesel</v>
      </c>
      <c r="F31" s="22" t="str">
        <f>[1]TransportB_EE!U61</f>
        <v>Natural gas</v>
      </c>
      <c r="G31" s="22" t="str">
        <f>[1]TransportB_EE!V61</f>
        <v>Ethanol</v>
      </c>
      <c r="H31" s="22" t="str">
        <f>[1]TransportB_EE!X61</f>
        <v>Biodiesel</v>
      </c>
      <c r="I31" s="22" t="str">
        <f>[1]TransportB_EE!Z61</f>
        <v>Biogas</v>
      </c>
      <c r="J31" s="22" t="str">
        <f>[1]TransportB_EE!AA61</f>
        <v>Total</v>
      </c>
      <c r="K31" s="88" t="s">
        <v>33</v>
      </c>
      <c r="L31" s="86" t="s">
        <v>24</v>
      </c>
      <c r="M31" s="1110">
        <f>C37*TJ_kytusehinnad!$N$13/1000</f>
        <v>17270.150672166834</v>
      </c>
      <c r="N31" s="163">
        <f>D37*[8]TJ_kytusehinnad!$N$8/1000</f>
        <v>0</v>
      </c>
      <c r="O31" s="163">
        <f>E37*[8]TJ_kytusehinnad!$N$7/1000</f>
        <v>70239.013732717081</v>
      </c>
      <c r="P31" s="163">
        <f>F37*[8]TJ_kytusehinnad!$N$12/1000</f>
        <v>11726.53604794947</v>
      </c>
      <c r="Q31" s="163">
        <f>G37*[8]TJ_kytusehinnad!$N$10/1000</f>
        <v>0</v>
      </c>
      <c r="R31" s="163">
        <f>H37*[8]TJ_kytusehinnad!$N$9/1000</f>
        <v>0</v>
      </c>
      <c r="S31" s="163">
        <f>I37*[8]TJ_kytusehinnad!$N$11/1000</f>
        <v>72869.082629974553</v>
      </c>
      <c r="T31" s="165">
        <f>SUM(M31:S31)</f>
        <v>172104.78308280796</v>
      </c>
    </row>
    <row r="32" spans="1:20">
      <c r="A32" s="38" t="s">
        <v>34</v>
      </c>
      <c r="B32" s="22" t="str">
        <f>[1]TransportB_EE!Q62</f>
        <v>TJ</v>
      </c>
      <c r="C32" s="22" t="str">
        <f>[1]TransportB_EE!R62</f>
        <v>%</v>
      </c>
      <c r="D32" s="22" t="str">
        <f>[1]TransportB_EE!S62</f>
        <v>%</v>
      </c>
      <c r="E32" s="22" t="str">
        <f>[1]TransportB_EE!T62</f>
        <v>%</v>
      </c>
      <c r="F32" s="22" t="str">
        <f>[1]TransportB_EE!U62</f>
        <v>%</v>
      </c>
      <c r="G32" s="22" t="str">
        <f>[1]TransportB_EE!V62</f>
        <v>%</v>
      </c>
      <c r="H32" s="22" t="str">
        <f>[1]TransportB_EE!X62</f>
        <v>%</v>
      </c>
      <c r="I32" s="22" t="str">
        <f>[1]TransportB_EE!Z62</f>
        <v>%</v>
      </c>
      <c r="J32" s="22" t="str">
        <f>[1]TransportB_EE!AA62</f>
        <v>%</v>
      </c>
      <c r="K32" s="82"/>
      <c r="L32" s="86" t="s">
        <v>26</v>
      </c>
      <c r="M32" s="1110">
        <f>C37*TJ_kytusehinnad!$N$24/1000</f>
        <v>0</v>
      </c>
      <c r="N32" s="163">
        <f>D37*[8]TJ_kytusehinnad!$N$18/1000</f>
        <v>0</v>
      </c>
      <c r="O32" s="163">
        <f>E37*[8]TJ_kytusehinnad!$N$17/1000</f>
        <v>33315.765201507333</v>
      </c>
      <c r="P32" s="163">
        <f>F37*[8]TJ_kytusehinnad!$N$23/1000</f>
        <v>6087.1010211606963</v>
      </c>
      <c r="Q32" s="163">
        <f>G37*[8]TJ_kytusehinnad!$N$21/1000</f>
        <v>0</v>
      </c>
      <c r="R32" s="163">
        <f>H37*[8]TJ_kytusehinnad!$N$20/1000</f>
        <v>0</v>
      </c>
      <c r="S32" s="163">
        <f>I37*[8]TJ_kytusehinnad!$N$22/1000</f>
        <v>0</v>
      </c>
      <c r="T32" s="165">
        <f>SUM(M32:S32)</f>
        <v>39402.866222668032</v>
      </c>
    </row>
    <row r="33" spans="1:20">
      <c r="A33" s="26" t="s">
        <v>35</v>
      </c>
      <c r="B33" s="22">
        <f>[1]TransportB_EE!Q63</f>
        <v>5105.3207919513525</v>
      </c>
      <c r="C33" s="22">
        <f>[1]TransportB_EE!R63</f>
        <v>0.1</v>
      </c>
      <c r="D33" s="22">
        <f>[1]TransportB_EE!S63</f>
        <v>0</v>
      </c>
      <c r="E33" s="22">
        <f>[1]TransportB_EE!T63</f>
        <v>0.5</v>
      </c>
      <c r="F33" s="22">
        <f>[1]TransportB_EE!U63</f>
        <v>0.1</v>
      </c>
      <c r="G33" s="22">
        <f>[1]TransportB_EE!V63</f>
        <v>0</v>
      </c>
      <c r="H33" s="22">
        <f>[1]TransportB_EE!X63</f>
        <v>0</v>
      </c>
      <c r="I33" s="22">
        <f>[1]TransportB_EE!Z63</f>
        <v>0.3</v>
      </c>
      <c r="J33" s="22">
        <f>[1]TransportB_EE!AA63</f>
        <v>1</v>
      </c>
      <c r="K33" s="82"/>
      <c r="L33" s="86" t="s">
        <v>28</v>
      </c>
      <c r="M33" s="1111"/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163">
        <v>0</v>
      </c>
      <c r="T33" s="164">
        <f>SUM(M33:S33)</f>
        <v>0</v>
      </c>
    </row>
    <row r="34" spans="1:20">
      <c r="A34" s="26" t="s">
        <v>36</v>
      </c>
      <c r="B34" s="22">
        <f>[1]TransportB_EE!Q64</f>
        <v>1008.4589687611942</v>
      </c>
      <c r="C34" s="22">
        <f>[1]TransportB_EE!R64</f>
        <v>0.5</v>
      </c>
      <c r="D34" s="22">
        <f>[1]TransportB_EE!S64</f>
        <v>0</v>
      </c>
      <c r="E34" s="22">
        <f>[1]TransportB_EE!T64</f>
        <v>0.19999999999999996</v>
      </c>
      <c r="F34" s="22">
        <f>[1]TransportB_EE!U64</f>
        <v>0</v>
      </c>
      <c r="G34" s="22">
        <f>[1]TransportB_EE!V64</f>
        <v>0</v>
      </c>
      <c r="H34" s="22">
        <f>[1]TransportB_EE!X64</f>
        <v>0</v>
      </c>
      <c r="I34" s="22">
        <f>[1]TransportB_EE!Z64</f>
        <v>0.3</v>
      </c>
      <c r="J34" s="22">
        <f>[1]TransportB_EE!AA64</f>
        <v>1</v>
      </c>
      <c r="K34" s="82"/>
      <c r="L34" s="86" t="s">
        <v>41</v>
      </c>
      <c r="M34" s="1111"/>
      <c r="N34" s="163">
        <f t="shared" ref="N34:S34" si="11">N31*0.1</f>
        <v>0</v>
      </c>
      <c r="O34" s="163">
        <f t="shared" si="11"/>
        <v>7023.9013732717085</v>
      </c>
      <c r="P34" s="163">
        <f t="shared" si="11"/>
        <v>1172.6536047949471</v>
      </c>
      <c r="Q34" s="163">
        <f t="shared" si="11"/>
        <v>0</v>
      </c>
      <c r="R34" s="163">
        <f t="shared" si="11"/>
        <v>0</v>
      </c>
      <c r="S34" s="163">
        <f t="shared" si="11"/>
        <v>7286.9082629974555</v>
      </c>
      <c r="T34" s="164">
        <f>SUM(M34:S34)</f>
        <v>15483.46324106411</v>
      </c>
    </row>
    <row r="35" spans="1:20" ht="13.5" thickBot="1">
      <c r="A35" s="26" t="s">
        <v>37</v>
      </c>
      <c r="B35" s="22">
        <f>[1]TransportB_EE!Q65</f>
        <v>0</v>
      </c>
      <c r="C35" s="22">
        <f>[1]TransportB_EE!R65</f>
        <v>0</v>
      </c>
      <c r="D35" s="22">
        <f>[1]TransportB_EE!S65</f>
        <v>0</v>
      </c>
      <c r="E35" s="22">
        <f>[1]TransportB_EE!T65</f>
        <v>1</v>
      </c>
      <c r="F35" s="22">
        <f>[1]TransportB_EE!U65</f>
        <v>0</v>
      </c>
      <c r="G35" s="22">
        <f>[1]TransportB_EE!V65</f>
        <v>0</v>
      </c>
      <c r="H35" s="22">
        <f>[1]TransportB_EE!X65</f>
        <v>0</v>
      </c>
      <c r="I35" s="22">
        <f>[1]TransportB_EE!Z65</f>
        <v>0</v>
      </c>
      <c r="J35" s="22">
        <f>[1]TransportB_EE!AA65</f>
        <v>1</v>
      </c>
      <c r="K35" s="82"/>
      <c r="L35" s="86" t="s">
        <v>45</v>
      </c>
      <c r="M35" s="89">
        <f>SUM(M31:M34)</f>
        <v>17270.150672166834</v>
      </c>
      <c r="N35" s="163">
        <f t="shared" ref="N35:S35" si="12">SUM(N31:N34)</f>
        <v>0</v>
      </c>
      <c r="O35" s="163">
        <f t="shared" si="12"/>
        <v>110578.68030749614</v>
      </c>
      <c r="P35" s="163">
        <f t="shared" si="12"/>
        <v>18986.290673905114</v>
      </c>
      <c r="Q35" s="163">
        <f t="shared" si="12"/>
        <v>0</v>
      </c>
      <c r="R35" s="163">
        <f t="shared" si="12"/>
        <v>0</v>
      </c>
      <c r="S35" s="163">
        <f t="shared" si="12"/>
        <v>80155.990892972011</v>
      </c>
      <c r="T35" s="164">
        <f>SUM(M35:S35)</f>
        <v>226991.1125465401</v>
      </c>
    </row>
    <row r="36" spans="1:20">
      <c r="A36" s="26" t="s">
        <v>38</v>
      </c>
      <c r="B36" s="22">
        <f>[1]TransportB_EE!Q66</f>
        <v>0</v>
      </c>
      <c r="C36" s="22">
        <f>[1]TransportB_EE!R66</f>
        <v>0</v>
      </c>
      <c r="D36" s="22">
        <f>[1]TransportB_EE!S66</f>
        <v>0</v>
      </c>
      <c r="E36" s="22">
        <f>[1]TransportB_EE!T66</f>
        <v>1</v>
      </c>
      <c r="F36" s="22">
        <f>[1]TransportB_EE!U66</f>
        <v>0</v>
      </c>
      <c r="G36" s="22">
        <f>[1]TransportB_EE!V66</f>
        <v>0</v>
      </c>
      <c r="H36" s="22">
        <f>[1]TransportB_EE!X66</f>
        <v>0</v>
      </c>
      <c r="I36" s="22">
        <f>[1]TransportB_EE!Z66</f>
        <v>0</v>
      </c>
      <c r="J36" s="22">
        <f>[1]TransportB_EE!AA66</f>
        <v>1</v>
      </c>
      <c r="K36" s="78" t="s">
        <v>19</v>
      </c>
      <c r="L36" s="79"/>
      <c r="M36" s="1112"/>
      <c r="N36" s="166"/>
      <c r="O36" s="166"/>
      <c r="P36" s="166"/>
      <c r="Q36" s="166"/>
      <c r="R36" s="166"/>
      <c r="S36" s="166"/>
      <c r="T36" s="167"/>
    </row>
    <row r="37" spans="1:20" ht="13.5" thickBot="1">
      <c r="A37" s="41" t="s">
        <v>17</v>
      </c>
      <c r="B37" s="22">
        <f>[1]TransportB_EE!Q67</f>
        <v>6113.7797607125467</v>
      </c>
      <c r="C37" s="22">
        <f>[1]TransportB_EE!R67</f>
        <v>578.18787705571106</v>
      </c>
      <c r="D37" s="22">
        <f>[1]TransportB_EE!S67</f>
        <v>0</v>
      </c>
      <c r="E37" s="22">
        <f>[1]TransportB_EE!T67</f>
        <v>2854.3321797041922</v>
      </c>
      <c r="F37" s="22">
        <f>[1]TransportB_EE!U67</f>
        <v>567.82658779484109</v>
      </c>
      <c r="G37" s="22">
        <f>[1]TransportB_EE!V67</f>
        <v>0</v>
      </c>
      <c r="H37" s="22">
        <f>[1]TransportB_EE!X67</f>
        <v>0</v>
      </c>
      <c r="I37" s="22">
        <f>[1]TransportB_EE!Z67</f>
        <v>2113.4331161578039</v>
      </c>
      <c r="J37" s="22">
        <f>[1]TransportB_EE!AA67</f>
        <v>6113.7797607125485</v>
      </c>
      <c r="K37" s="88" t="s">
        <v>91</v>
      </c>
      <c r="L37" s="86" t="s">
        <v>24</v>
      </c>
      <c r="M37" s="19">
        <f>M25+M31</f>
        <v>63810.925494036943</v>
      </c>
      <c r="N37" s="163">
        <f t="shared" ref="N37:T37" si="13">N25+N31</f>
        <v>38962.914525173554</v>
      </c>
      <c r="O37" s="163">
        <f t="shared" si="13"/>
        <v>112373.16435140782</v>
      </c>
      <c r="P37" s="163">
        <f t="shared" si="13"/>
        <v>34588.723414023902</v>
      </c>
      <c r="Q37" s="163">
        <f t="shared" si="13"/>
        <v>12999.228583712757</v>
      </c>
      <c r="R37" s="163">
        <f t="shared" si="13"/>
        <v>0</v>
      </c>
      <c r="S37" s="163">
        <f t="shared" si="13"/>
        <v>170832.67952121526</v>
      </c>
      <c r="T37" s="164">
        <f t="shared" si="13"/>
        <v>433567.63588957029</v>
      </c>
    </row>
    <row r="38" spans="1:20">
      <c r="A38" s="26"/>
      <c r="B38" s="22">
        <f>[1]TransportB_EE!Q68</f>
        <v>0</v>
      </c>
      <c r="C38" s="22" t="str">
        <f>[1]TransportB_EE!R68</f>
        <v>Electricity</v>
      </c>
      <c r="D38" s="22" t="str">
        <f>[1]TransportB_EE!S68</f>
        <v>Gasoline</v>
      </c>
      <c r="E38" s="22" t="str">
        <f>[1]TransportB_EE!T68</f>
        <v>Diesel</v>
      </c>
      <c r="F38" s="22" t="str">
        <f>[1]TransportB_EE!U68</f>
        <v>Natural gas</v>
      </c>
      <c r="G38" s="22" t="str">
        <f>[1]TransportB_EE!V68</f>
        <v>Ethanol</v>
      </c>
      <c r="H38" s="22" t="str">
        <f>[1]TransportB_EE!X68</f>
        <v>Biodiesel</v>
      </c>
      <c r="I38" s="22" t="str">
        <f>[1]TransportB_EE!Z68</f>
        <v>Biogas</v>
      </c>
      <c r="J38" s="22" t="str">
        <f>[1]TransportB_EE!AA68</f>
        <v>Total</v>
      </c>
      <c r="K38" s="82"/>
      <c r="L38" s="86" t="s">
        <v>26</v>
      </c>
      <c r="M38" s="1111">
        <f>M26+M32</f>
        <v>0</v>
      </c>
      <c r="N38" s="163">
        <f t="shared" ref="N38:T41" si="14">N26+N32</f>
        <v>17346.116879976682</v>
      </c>
      <c r="O38" s="163">
        <f t="shared" si="14"/>
        <v>53300.833248147523</v>
      </c>
      <c r="P38" s="163">
        <f t="shared" si="14"/>
        <v>17954.58204820563</v>
      </c>
      <c r="Q38" s="163">
        <f t="shared" si="14"/>
        <v>4247.0751986231689</v>
      </c>
      <c r="R38" s="163">
        <f t="shared" si="14"/>
        <v>0</v>
      </c>
      <c r="S38" s="163">
        <f t="shared" si="14"/>
        <v>0</v>
      </c>
      <c r="T38" s="164">
        <f>T26+T32</f>
        <v>92848.607374953004</v>
      </c>
    </row>
    <row r="39" spans="1:20">
      <c r="A39" s="42"/>
      <c r="B39" s="22" t="str">
        <f>[1]TransportB_EE!Q69</f>
        <v>TJ</v>
      </c>
      <c r="C39" s="22" t="str">
        <f>[1]TransportB_EE!R69</f>
        <v>%</v>
      </c>
      <c r="D39" s="22" t="str">
        <f>[1]TransportB_EE!S69</f>
        <v>%</v>
      </c>
      <c r="E39" s="22" t="str">
        <f>[1]TransportB_EE!T69</f>
        <v>%</v>
      </c>
      <c r="F39" s="22" t="str">
        <f>[1]TransportB_EE!U69</f>
        <v>%</v>
      </c>
      <c r="G39" s="22" t="str">
        <f>[1]TransportB_EE!V69</f>
        <v>%</v>
      </c>
      <c r="H39" s="22" t="str">
        <f>[1]TransportB_EE!X69</f>
        <v>%</v>
      </c>
      <c r="I39" s="22">
        <f>[1]TransportB_EE!Z69</f>
        <v>0</v>
      </c>
      <c r="J39" s="22" t="str">
        <f>[1]TransportB_EE!AA69</f>
        <v>%</v>
      </c>
      <c r="K39" s="82"/>
      <c r="L39" s="86" t="s">
        <v>28</v>
      </c>
      <c r="M39" s="1111">
        <f>M27+M33</f>
        <v>6981.1162232805164</v>
      </c>
      <c r="N39" s="163">
        <f t="shared" si="14"/>
        <v>9030.7984286501396</v>
      </c>
      <c r="O39" s="163">
        <f t="shared" si="14"/>
        <v>9949.8950590800014</v>
      </c>
      <c r="P39" s="163">
        <f t="shared" si="14"/>
        <v>5552.3830694590215</v>
      </c>
      <c r="Q39" s="163">
        <f t="shared" si="14"/>
        <v>2781.9339961060805</v>
      </c>
      <c r="R39" s="163">
        <f t="shared" si="14"/>
        <v>0</v>
      </c>
      <c r="S39" s="163">
        <f t="shared" si="14"/>
        <v>16163.993487054722</v>
      </c>
      <c r="T39" s="164">
        <f t="shared" si="14"/>
        <v>50460.120263630481</v>
      </c>
    </row>
    <row r="40" spans="1:20" ht="12.75" customHeight="1">
      <c r="A40" s="1160" t="s">
        <v>40</v>
      </c>
      <c r="B40" s="22">
        <f>[1]TransportB_EE!Q70</f>
        <v>15279.013231210221</v>
      </c>
      <c r="C40" s="22">
        <f>[1]TransportB_EE!R70</f>
        <v>0.24226908737521852</v>
      </c>
      <c r="D40" s="22">
        <f>[1]TransportB_EE!S70</f>
        <v>8.4130247502302344E-2</v>
      </c>
      <c r="E40" s="22">
        <f>[1]TransportB_EE!T70</f>
        <v>0.28124620585207522</v>
      </c>
      <c r="F40" s="22">
        <f>[1]TransportB_EE!U70</f>
        <v>9.4409229835855465E-2</v>
      </c>
      <c r="G40" s="22">
        <f>[1]TransportB_EE!V70</f>
        <v>2.4744190441853629E-2</v>
      </c>
      <c r="H40" s="22">
        <f>[1]TransportB_EE!X70</f>
        <v>0</v>
      </c>
      <c r="I40" s="22">
        <f>[1]TransportB_EE!Z70</f>
        <v>0.27320103899269488</v>
      </c>
      <c r="J40" s="22">
        <f>[1]TransportB_EE!AA70</f>
        <v>1</v>
      </c>
      <c r="K40" s="82"/>
      <c r="L40" s="86" t="s">
        <v>41</v>
      </c>
      <c r="M40" s="1111">
        <f>M28+M34</f>
        <v>0</v>
      </c>
      <c r="N40" s="163">
        <f t="shared" si="14"/>
        <v>3896.2914525173555</v>
      </c>
      <c r="O40" s="163">
        <f t="shared" si="14"/>
        <v>11237.316435140783</v>
      </c>
      <c r="P40" s="163">
        <f t="shared" si="14"/>
        <v>3458.8723414023898</v>
      </c>
      <c r="Q40" s="163">
        <f t="shared" si="14"/>
        <v>1299.9228583712757</v>
      </c>
      <c r="R40" s="163">
        <f t="shared" si="14"/>
        <v>0</v>
      </c>
      <c r="S40" s="163">
        <f t="shared" si="14"/>
        <v>17083.267952121529</v>
      </c>
      <c r="T40" s="164">
        <f t="shared" si="14"/>
        <v>36975.67103955333</v>
      </c>
    </row>
    <row r="41" spans="1:20" ht="13.5" thickBot="1">
      <c r="A41" s="1161"/>
      <c r="B41" s="22">
        <f>[1]TransportB_EE!Q71</f>
        <v>0</v>
      </c>
      <c r="C41" s="22">
        <f>[1]TransportB_EE!R71</f>
        <v>2136.3278320332279</v>
      </c>
      <c r="D41" s="22">
        <f>[1]TransportB_EE!S71</f>
        <v>1504.1724661790395</v>
      </c>
      <c r="E41" s="22">
        <f>[1]TransportB_EE!T71</f>
        <v>4566.5552817124335</v>
      </c>
      <c r="F41" s="22">
        <f>[1]TransportB_EE!U71</f>
        <v>1674.8677283773909</v>
      </c>
      <c r="G41" s="22">
        <f>[1]TransportB_EE!V71</f>
        <v>442.40366652324684</v>
      </c>
      <c r="H41" s="22">
        <f>[1]TransportB_EE!X71</f>
        <v>0</v>
      </c>
      <c r="I41" s="22">
        <f>[1]TransportB_EE!Z71</f>
        <v>4954.6862563848845</v>
      </c>
      <c r="J41" s="22">
        <f>[1]TransportB_EE!AA71</f>
        <v>15279.013231210223</v>
      </c>
      <c r="K41" s="93"/>
      <c r="L41" s="94" t="s">
        <v>32</v>
      </c>
      <c r="M41" s="52">
        <f>M29+M35</f>
        <v>70792.04171731745</v>
      </c>
      <c r="N41" s="168">
        <f t="shared" si="14"/>
        <v>69236.121286317735</v>
      </c>
      <c r="O41" s="168">
        <f t="shared" si="14"/>
        <v>186861.20909377612</v>
      </c>
      <c r="P41" s="168">
        <f t="shared" si="14"/>
        <v>61554.560873090944</v>
      </c>
      <c r="Q41" s="168">
        <f t="shared" si="14"/>
        <v>21328.160636813282</v>
      </c>
      <c r="R41" s="168">
        <f t="shared" si="14"/>
        <v>0</v>
      </c>
      <c r="S41" s="168">
        <f t="shared" si="14"/>
        <v>204079.94096039154</v>
      </c>
      <c r="T41" s="169">
        <f t="shared" si="14"/>
        <v>613852.0345677071</v>
      </c>
    </row>
    <row r="42" spans="1:20" ht="13.5" thickBot="1">
      <c r="K42" s="77"/>
      <c r="L42" s="77"/>
      <c r="M42" s="1114"/>
      <c r="N42" s="170"/>
      <c r="O42" s="170"/>
      <c r="P42" s="170"/>
      <c r="Q42" s="170"/>
      <c r="R42" s="170"/>
      <c r="S42" s="170"/>
      <c r="T42" s="170"/>
    </row>
    <row r="43" spans="1:20" ht="13.5" thickBot="1">
      <c r="M43" s="1112"/>
      <c r="N43" s="54"/>
      <c r="O43" s="54"/>
      <c r="P43" s="54"/>
      <c r="Q43" s="54"/>
      <c r="R43" s="54"/>
      <c r="S43" s="54"/>
      <c r="T43" s="54"/>
    </row>
    <row r="44" spans="1:20" ht="20.25">
      <c r="A44" s="136" t="s">
        <v>77</v>
      </c>
      <c r="B44" s="137"/>
      <c r="C44" s="138"/>
      <c r="D44" s="138"/>
      <c r="E44" s="138"/>
      <c r="F44" s="138"/>
      <c r="G44" s="138"/>
      <c r="H44" s="138"/>
      <c r="I44" s="138"/>
      <c r="J44" s="139"/>
      <c r="K44" s="78" t="s">
        <v>92</v>
      </c>
      <c r="L44" s="80"/>
      <c r="M44" s="1115" t="s">
        <v>11</v>
      </c>
      <c r="N44" s="166"/>
      <c r="O44" s="166"/>
      <c r="P44" s="166"/>
      <c r="Q44" s="166"/>
      <c r="R44" s="166"/>
      <c r="S44" s="166"/>
      <c r="T44" s="167"/>
    </row>
    <row r="45" spans="1:20">
      <c r="A45" s="140" t="s">
        <v>85</v>
      </c>
      <c r="B45" s="141"/>
      <c r="C45" s="141" t="s">
        <v>78</v>
      </c>
      <c r="D45" s="141" t="s">
        <v>79</v>
      </c>
      <c r="E45" s="141" t="s">
        <v>80</v>
      </c>
      <c r="F45" s="141" t="s">
        <v>81</v>
      </c>
      <c r="G45" s="141" t="s">
        <v>82</v>
      </c>
      <c r="H45" s="141" t="s">
        <v>83</v>
      </c>
      <c r="I45" s="141" t="s">
        <v>84</v>
      </c>
      <c r="J45" s="142" t="s">
        <v>17</v>
      </c>
      <c r="K45" s="99" t="s">
        <v>3</v>
      </c>
      <c r="L45" s="100"/>
      <c r="M45" s="1115">
        <f>C50*TJ_kytusehinnad!$N$13/1000</f>
        <v>0</v>
      </c>
      <c r="N45" s="172" t="s">
        <v>12</v>
      </c>
      <c r="O45" s="172" t="s">
        <v>13</v>
      </c>
      <c r="P45" s="172" t="s">
        <v>7</v>
      </c>
      <c r="Q45" s="172" t="s">
        <v>18</v>
      </c>
      <c r="R45" s="172" t="s">
        <v>15</v>
      </c>
      <c r="S45" s="172" t="s">
        <v>16</v>
      </c>
      <c r="T45" s="173" t="s">
        <v>19</v>
      </c>
    </row>
    <row r="46" spans="1:20">
      <c r="A46" s="143" t="s">
        <v>20</v>
      </c>
      <c r="B46" s="144" t="s">
        <v>21</v>
      </c>
      <c r="C46" s="144" t="s">
        <v>22</v>
      </c>
      <c r="D46" s="144" t="s">
        <v>22</v>
      </c>
      <c r="E46" s="144" t="s">
        <v>22</v>
      </c>
      <c r="F46" s="144" t="s">
        <v>22</v>
      </c>
      <c r="G46" s="144" t="s">
        <v>22</v>
      </c>
      <c r="H46" s="144" t="s">
        <v>22</v>
      </c>
      <c r="I46" s="144" t="s">
        <v>22</v>
      </c>
      <c r="J46" s="145" t="s">
        <v>22</v>
      </c>
      <c r="K46" s="103" t="s">
        <v>23</v>
      </c>
      <c r="L46" s="101" t="s">
        <v>24</v>
      </c>
      <c r="M46" s="1115">
        <f>C50*TJ_kytusehinnad!$N$24/1000</f>
        <v>0</v>
      </c>
      <c r="N46" s="163">
        <f>D51*[8]TJ_kytusehinnad!$N$8/1000</f>
        <v>157312.57700109316</v>
      </c>
      <c r="O46" s="163">
        <f>E51*[8]TJ_kytusehinnad!$N$7/1000</f>
        <v>150727.55359003067</v>
      </c>
      <c r="P46" s="163">
        <f>F51*[8]TJ_kytusehinnad!$N$12/1000</f>
        <v>25276.373944875413</v>
      </c>
      <c r="Q46" s="163">
        <f>G51*[8]TJ_kytusehinnad!$N$10/1000</f>
        <v>20393.907932588525</v>
      </c>
      <c r="R46" s="163">
        <f>H51*[8]TJ_kytusehinnad!$N$9/1000</f>
        <v>0</v>
      </c>
      <c r="S46" s="163">
        <f>I51*[8]TJ_kytusehinnad!$N$11/1000</f>
        <v>95101.490281965554</v>
      </c>
      <c r="T46" s="165">
        <f>SUM(M46:S46)</f>
        <v>448811.90275055333</v>
      </c>
    </row>
    <row r="47" spans="1:20">
      <c r="A47" s="146" t="s">
        <v>25</v>
      </c>
      <c r="B47" s="147">
        <f>[1]Transport50VS!Q56</f>
        <v>16082.217411235923</v>
      </c>
      <c r="C47" s="147">
        <f>[1]Transport50VS!R56</f>
        <v>7.0000000000000007E-2</v>
      </c>
      <c r="D47" s="147">
        <f>[1]Transport50VS!S56</f>
        <v>0.35</v>
      </c>
      <c r="E47" s="147">
        <f>[1]Transport50VS!T56</f>
        <v>0.35000000000000003</v>
      </c>
      <c r="F47" s="147">
        <f>[1]Transport50VS!U56</f>
        <v>0.06</v>
      </c>
      <c r="G47" s="147">
        <f>[1]Transport50VS!V56</f>
        <v>0.04</v>
      </c>
      <c r="H47" s="147">
        <f>[1]Transport50VS!X56</f>
        <v>0</v>
      </c>
      <c r="I47" s="147">
        <f>[1]Transport50VS!Z56</f>
        <v>0.13</v>
      </c>
      <c r="J47" s="147">
        <f>[1]Transport50VS!AA56</f>
        <v>1</v>
      </c>
      <c r="K47" s="106"/>
      <c r="L47" s="101" t="s">
        <v>26</v>
      </c>
      <c r="M47" s="62">
        <f>SUM(M45:M46,M48)*0.75*0.2</f>
        <v>0</v>
      </c>
      <c r="N47" s="163">
        <f>D51*[8]TJ_kytusehinnad!$N$18/1000</f>
        <v>70034.862140209443</v>
      </c>
      <c r="O47" s="163">
        <f>E51*[8]TJ_kytusehinnad!$N$17/1000</f>
        <v>71493.085081062731</v>
      </c>
      <c r="P47" s="163">
        <f>F51*[8]TJ_kytusehinnad!$N$23/1000</f>
        <v>13120.655666938834</v>
      </c>
      <c r="Q47" s="163">
        <f>G51*[8]TJ_kytusehinnad!$N$21/1000</f>
        <v>6663.0461973738729</v>
      </c>
      <c r="R47" s="163">
        <f>H51*[8]TJ_kytusehinnad!$N$20/1000</f>
        <v>0</v>
      </c>
      <c r="S47" s="163">
        <f>I51*[8]TJ_kytusehinnad!$N$22/1000</f>
        <v>0</v>
      </c>
      <c r="T47" s="165">
        <f>SUM(M47:S47)</f>
        <v>161311.64908558488</v>
      </c>
    </row>
    <row r="48" spans="1:20">
      <c r="A48" s="148" t="s">
        <v>27</v>
      </c>
      <c r="B48" s="147">
        <f>[1]Transport50VS!Q57</f>
        <v>742.85725863573282</v>
      </c>
      <c r="C48" s="147">
        <f>[1]Transport50VS!R57</f>
        <v>0.25</v>
      </c>
      <c r="D48" s="147">
        <f>[1]Transport50VS!S57</f>
        <v>0</v>
      </c>
      <c r="E48" s="147">
        <f>[1]Transport50VS!T57</f>
        <v>0.15000000000000002</v>
      </c>
      <c r="F48" s="147">
        <f>[1]Transport50VS!U57</f>
        <v>0.15</v>
      </c>
      <c r="G48" s="147">
        <f>[1]Transport50VS!V57</f>
        <v>0</v>
      </c>
      <c r="H48" s="147">
        <f>[1]Transport50VS!X57</f>
        <v>0</v>
      </c>
      <c r="I48" s="147">
        <f>[1]Transport50VS!Z57</f>
        <v>0.45</v>
      </c>
      <c r="J48" s="147">
        <f>[1]Transport50VS!AA57</f>
        <v>1</v>
      </c>
      <c r="K48" s="106"/>
      <c r="L48" s="101" t="s">
        <v>28</v>
      </c>
      <c r="M48" s="1116"/>
      <c r="N48" s="174">
        <f t="shared" ref="N48:S48" si="15">SUM(N46:N47,N49)*0.75*0.2</f>
        <v>36461.804526211788</v>
      </c>
      <c r="O48" s="174">
        <f t="shared" si="15"/>
        <v>35594.009104514465</v>
      </c>
      <c r="P48" s="174">
        <f t="shared" si="15"/>
        <v>6138.7000509452673</v>
      </c>
      <c r="Q48" s="174">
        <f t="shared" si="15"/>
        <v>4364.4517384831879</v>
      </c>
      <c r="R48" s="174">
        <f t="shared" si="15"/>
        <v>0</v>
      </c>
      <c r="S48" s="174">
        <f t="shared" si="15"/>
        <v>15691.745896524317</v>
      </c>
      <c r="T48" s="173">
        <f>SUM(M48:S48)</f>
        <v>98250.711316679008</v>
      </c>
    </row>
    <row r="49" spans="1:20">
      <c r="A49" s="148" t="s">
        <v>29</v>
      </c>
      <c r="B49" s="147">
        <f>[1]Transport50VS!Q58</f>
        <v>497.97958071154812</v>
      </c>
      <c r="C49" s="147">
        <f>[1]Transport50VS!R58</f>
        <v>0.85</v>
      </c>
      <c r="D49" s="147">
        <f>[1]Transport50VS!S58</f>
        <v>0</v>
      </c>
      <c r="E49" s="147">
        <f>[1]Transport50VS!T58</f>
        <v>0</v>
      </c>
      <c r="F49" s="147">
        <f>[1]Transport50VS!U58</f>
        <v>0.05</v>
      </c>
      <c r="G49" s="147">
        <f>[1]Transport50VS!V58</f>
        <v>0</v>
      </c>
      <c r="H49" s="147">
        <f>[1]Transport50VS!X58</f>
        <v>0</v>
      </c>
      <c r="I49" s="147">
        <f>[1]Transport50VS!Z58</f>
        <v>0.1</v>
      </c>
      <c r="J49" s="147">
        <f>[1]Transport50VS!AA58</f>
        <v>1</v>
      </c>
      <c r="K49" s="106"/>
      <c r="L49" s="101" t="s">
        <v>41</v>
      </c>
      <c r="M49" s="59">
        <f>SUM(M45:M48)</f>
        <v>0</v>
      </c>
      <c r="N49" s="174">
        <f t="shared" ref="N49:S49" si="16">N46*0.1</f>
        <v>15731.257700109316</v>
      </c>
      <c r="O49" s="174">
        <f t="shared" si="16"/>
        <v>15072.755359003067</v>
      </c>
      <c r="P49" s="174">
        <f t="shared" si="16"/>
        <v>2527.6373944875413</v>
      </c>
      <c r="Q49" s="174">
        <f t="shared" si="16"/>
        <v>2039.3907932588527</v>
      </c>
      <c r="R49" s="174">
        <f t="shared" si="16"/>
        <v>0</v>
      </c>
      <c r="S49" s="174">
        <f t="shared" si="16"/>
        <v>9510.1490281965562</v>
      </c>
      <c r="T49" s="173">
        <f>SUM(M49:S49)</f>
        <v>44881.190275055342</v>
      </c>
    </row>
    <row r="50" spans="1:20">
      <c r="A50" s="149" t="s">
        <v>31</v>
      </c>
      <c r="B50" s="147">
        <f>[1]Transport50VS!Q59</f>
        <v>381.65058163388369</v>
      </c>
      <c r="C50" s="147">
        <f>[1]Transport50VS!R59</f>
        <v>0</v>
      </c>
      <c r="D50" s="147">
        <f>[1]Transport50VS!S59</f>
        <v>0</v>
      </c>
      <c r="E50" s="147">
        <f>[1]Transport50VS!T59</f>
        <v>1</v>
      </c>
      <c r="F50" s="147">
        <f>[1]Transport50VS!U59</f>
        <v>0</v>
      </c>
      <c r="G50" s="147">
        <f>[1]Transport50VS!V59</f>
        <v>0</v>
      </c>
      <c r="H50" s="147">
        <f>[1]Transport50VS!X59</f>
        <v>0</v>
      </c>
      <c r="I50" s="147">
        <f>[1]Transport50VS!Z59</f>
        <v>0</v>
      </c>
      <c r="J50" s="147">
        <f>[1]Transport50VS!AA59</f>
        <v>1</v>
      </c>
      <c r="K50" s="106"/>
      <c r="L50" s="101" t="s">
        <v>44</v>
      </c>
      <c r="M50" s="1116"/>
      <c r="N50" s="172">
        <f t="shared" ref="N50:S50" si="17">SUM(N46:N49)</f>
        <v>279540.50136762374</v>
      </c>
      <c r="O50" s="172">
        <f t="shared" si="17"/>
        <v>272887.40313461091</v>
      </c>
      <c r="P50" s="172">
        <f t="shared" si="17"/>
        <v>47063.367057247058</v>
      </c>
      <c r="Q50" s="172">
        <f t="shared" si="17"/>
        <v>33460.796661704437</v>
      </c>
      <c r="R50" s="172">
        <f t="shared" si="17"/>
        <v>0</v>
      </c>
      <c r="S50" s="172">
        <f t="shared" si="17"/>
        <v>120303.38520668642</v>
      </c>
      <c r="T50" s="173">
        <f>SUM(M50:S50)</f>
        <v>753255.45342787262</v>
      </c>
    </row>
    <row r="51" spans="1:20" ht="13.5" thickBot="1">
      <c r="A51" s="150" t="s">
        <v>17</v>
      </c>
      <c r="B51" s="147">
        <f>[1]Transport50VS!Q60</f>
        <v>17704.704832217085</v>
      </c>
      <c r="C51" s="147">
        <f>[1]Transport50VS!R60</f>
        <v>830.18511270059753</v>
      </c>
      <c r="D51" s="147">
        <f>[1]Transport50VS!S60</f>
        <v>6073.0889819813938</v>
      </c>
      <c r="E51" s="147">
        <f>[1]Transport50VS!T60</f>
        <v>6125.1786395701447</v>
      </c>
      <c r="F51" s="147">
        <f>[1]Transport50VS!U60</f>
        <v>1223.9417599756375</v>
      </c>
      <c r="G51" s="147">
        <f>[1]Transport50VS!V60</f>
        <v>694.0673122264451</v>
      </c>
      <c r="H51" s="147">
        <f>[1]Transport50VS!X60</f>
        <v>0</v>
      </c>
      <c r="I51" s="147">
        <f>[1]Transport50VS!Z60</f>
        <v>2758.2430257628694</v>
      </c>
      <c r="J51" s="147">
        <f>[1]Transport50VS!AA60</f>
        <v>17704.704832217089</v>
      </c>
      <c r="K51" s="106"/>
      <c r="L51" s="100"/>
      <c r="M51" s="1115">
        <f>C57*TJ_kytusehinnad!$N$13/1000</f>
        <v>0</v>
      </c>
      <c r="N51" s="174"/>
      <c r="O51" s="174"/>
      <c r="P51" s="174"/>
      <c r="Q51" s="174"/>
      <c r="R51" s="174"/>
      <c r="S51" s="174"/>
      <c r="T51" s="175"/>
    </row>
    <row r="52" spans="1:20">
      <c r="A52" s="151"/>
      <c r="B52" s="147">
        <f>[1]Transport50VS!Q61</f>
        <v>0</v>
      </c>
      <c r="C52" s="147" t="str">
        <f>[1]Transport50VS!R61</f>
        <v>Electricity</v>
      </c>
      <c r="D52" s="147" t="str">
        <f>[1]Transport50VS!S61</f>
        <v>Gasoline</v>
      </c>
      <c r="E52" s="147" t="str">
        <f>[1]Transport50VS!T61</f>
        <v>Diesel</v>
      </c>
      <c r="F52" s="147" t="str">
        <f>[1]Transport50VS!U61</f>
        <v>Natural gas</v>
      </c>
      <c r="G52" s="147" t="str">
        <f>[1]Transport50VS!V61</f>
        <v>Ethanol</v>
      </c>
      <c r="H52" s="147" t="str">
        <f>[1]Transport50VS!X61</f>
        <v>Biodiesel</v>
      </c>
      <c r="I52" s="147" t="str">
        <f>[1]Transport50VS!Z61</f>
        <v>Biogas</v>
      </c>
      <c r="J52" s="147" t="str">
        <f>[1]Transport50VS!AA61</f>
        <v>Total</v>
      </c>
      <c r="K52" s="103" t="s">
        <v>33</v>
      </c>
      <c r="L52" s="101" t="s">
        <v>24</v>
      </c>
      <c r="M52" s="1115">
        <f>C57*TJ_kytusehinnad!$N$24/1000</f>
        <v>0</v>
      </c>
      <c r="N52" s="163">
        <f>D58*[8]TJ_kytusehinnad!$N$8/1000</f>
        <v>0</v>
      </c>
      <c r="O52" s="163">
        <f>E58*[8]TJ_kytusehinnad!$N$7/1000</f>
        <v>290790.98505261558</v>
      </c>
      <c r="P52" s="163">
        <f>F58*[8]TJ_kytusehinnad!$N$12/1000</f>
        <v>34939.098382040029</v>
      </c>
      <c r="Q52" s="163">
        <f>G58*[8]TJ_kytusehinnad!$N$10/1000</f>
        <v>0</v>
      </c>
      <c r="R52" s="163">
        <f>H58*[8]TJ_kytusehinnad!$N$9/1000</f>
        <v>0</v>
      </c>
      <c r="S52" s="163">
        <f>I58*[8]TJ_kytusehinnad!$N$11/1000</f>
        <v>94487.468145939434</v>
      </c>
      <c r="T52" s="176">
        <f>SUM(M52:S52)</f>
        <v>420217.55158059509</v>
      </c>
    </row>
    <row r="53" spans="1:20">
      <c r="A53" s="152" t="s">
        <v>34</v>
      </c>
      <c r="B53" s="147" t="str">
        <f>[1]Transport50VS!Q62</f>
        <v>TJ</v>
      </c>
      <c r="C53" s="147" t="str">
        <f>[1]Transport50VS!R62</f>
        <v>%</v>
      </c>
      <c r="D53" s="147" t="str">
        <f>[1]Transport50VS!S62</f>
        <v>%</v>
      </c>
      <c r="E53" s="147" t="str">
        <f>[1]Transport50VS!T62</f>
        <v>%</v>
      </c>
      <c r="F53" s="147" t="str">
        <f>[1]Transport50VS!U62</f>
        <v>%</v>
      </c>
      <c r="G53" s="147" t="str">
        <f>[1]Transport50VS!V62</f>
        <v>%</v>
      </c>
      <c r="H53" s="147" t="str">
        <f>[1]Transport50VS!X62</f>
        <v>%</v>
      </c>
      <c r="I53" s="147" t="str">
        <f>[1]Transport50VS!Z62</f>
        <v>%</v>
      </c>
      <c r="J53" s="147" t="str">
        <f>[1]Transport50VS!AA62</f>
        <v>%</v>
      </c>
      <c r="K53" s="106"/>
      <c r="L53" s="101" t="s">
        <v>26</v>
      </c>
      <c r="M53" s="1116"/>
      <c r="N53" s="163">
        <f>D58*[8]TJ_kytusehinnad!$N$18/1000</f>
        <v>0</v>
      </c>
      <c r="O53" s="163">
        <f>E58*[8]TJ_kytusehinnad!$N$17/1000</f>
        <v>137927.96433038992</v>
      </c>
      <c r="P53" s="163">
        <f>F58*[8]TJ_kytusehinnad!$N$23/1000</f>
        <v>18136.457396294729</v>
      </c>
      <c r="Q53" s="163">
        <f>G58*[8]TJ_kytusehinnad!$N$21/1000</f>
        <v>0</v>
      </c>
      <c r="R53" s="163">
        <f>H58*[8]TJ_kytusehinnad!$N$20/1000</f>
        <v>0</v>
      </c>
      <c r="S53" s="163">
        <f>I58*[8]TJ_kytusehinnad!$N$22/1000</f>
        <v>0</v>
      </c>
      <c r="T53" s="176">
        <f>SUM(M53:S53)</f>
        <v>156064.42172668464</v>
      </c>
    </row>
    <row r="54" spans="1:20">
      <c r="A54" s="148" t="s">
        <v>35</v>
      </c>
      <c r="B54" s="147">
        <f>[1]Transport50VS!Q63</f>
        <v>15506.667363833441</v>
      </c>
      <c r="C54" s="147">
        <f>[1]Transport50VS!R63</f>
        <v>0.03</v>
      </c>
      <c r="D54" s="147">
        <f>[1]Transport50VS!S63</f>
        <v>0</v>
      </c>
      <c r="E54" s="147">
        <f>[1]Transport50VS!T63</f>
        <v>0.72</v>
      </c>
      <c r="F54" s="147">
        <f>[1]Transport50VS!U63</f>
        <v>0.1</v>
      </c>
      <c r="G54" s="147">
        <f>[1]Transport50VS!V63</f>
        <v>0</v>
      </c>
      <c r="H54" s="147">
        <f>[1]Transport50VS!X63</f>
        <v>0</v>
      </c>
      <c r="I54" s="147">
        <f>[1]Transport50VS!Z63</f>
        <v>0.15</v>
      </c>
      <c r="J54" s="147">
        <f>[1]Transport50VS!AA63</f>
        <v>1</v>
      </c>
      <c r="K54" s="106"/>
      <c r="L54" s="101" t="s">
        <v>28</v>
      </c>
      <c r="M54" s="1116"/>
      <c r="N54" s="174">
        <v>0</v>
      </c>
      <c r="O54" s="174">
        <v>0</v>
      </c>
      <c r="P54" s="174">
        <v>0</v>
      </c>
      <c r="Q54" s="174">
        <v>0</v>
      </c>
      <c r="R54" s="174">
        <v>0</v>
      </c>
      <c r="S54" s="174">
        <v>0</v>
      </c>
      <c r="T54" s="173">
        <f>SUM(M54:S54)</f>
        <v>0</v>
      </c>
    </row>
    <row r="55" spans="1:20" ht="13.5" thickBot="1">
      <c r="A55" s="148" t="s">
        <v>36</v>
      </c>
      <c r="B55" s="147">
        <f>[1]Transport50VS!Q64</f>
        <v>1127.4481869814088</v>
      </c>
      <c r="C55" s="147">
        <f>[1]Transport50VS!R64</f>
        <v>0.3</v>
      </c>
      <c r="D55" s="147">
        <f>[1]Transport50VS!S64</f>
        <v>0</v>
      </c>
      <c r="E55" s="147">
        <f>[1]Transport50VS!T64</f>
        <v>0.55000000000000004</v>
      </c>
      <c r="F55" s="147">
        <f>[1]Transport50VS!U64</f>
        <v>0</v>
      </c>
      <c r="G55" s="147">
        <f>[1]Transport50VS!V64</f>
        <v>0</v>
      </c>
      <c r="H55" s="147">
        <f>[1]Transport50VS!X64</f>
        <v>0</v>
      </c>
      <c r="I55" s="147">
        <f>[1]Transport50VS!Z64</f>
        <v>0.15</v>
      </c>
      <c r="J55" s="147">
        <f>[1]Transport50VS!AA64</f>
        <v>1</v>
      </c>
      <c r="K55" s="106"/>
      <c r="L55" s="101" t="s">
        <v>41</v>
      </c>
      <c r="M55" s="113">
        <f>SUM(M51:M54)</f>
        <v>0</v>
      </c>
      <c r="N55" s="174">
        <f t="shared" ref="N55:S55" si="18">N52*0.1</f>
        <v>0</v>
      </c>
      <c r="O55" s="174">
        <f t="shared" si="18"/>
        <v>29079.098505261558</v>
      </c>
      <c r="P55" s="174">
        <f t="shared" si="18"/>
        <v>3493.9098382040029</v>
      </c>
      <c r="Q55" s="174">
        <f t="shared" si="18"/>
        <v>0</v>
      </c>
      <c r="R55" s="174">
        <f t="shared" si="18"/>
        <v>0</v>
      </c>
      <c r="S55" s="174">
        <f t="shared" si="18"/>
        <v>9448.7468145939438</v>
      </c>
      <c r="T55" s="173">
        <f>SUM(M55:S55)</f>
        <v>42021.755158059503</v>
      </c>
    </row>
    <row r="56" spans="1:20" ht="13.5" thickBot="1">
      <c r="A56" s="148" t="s">
        <v>37</v>
      </c>
      <c r="B56" s="147">
        <f>[1]Transport50VS!Q65</f>
        <v>0</v>
      </c>
      <c r="C56" s="147">
        <f>[1]Transport50VS!R65</f>
        <v>0</v>
      </c>
      <c r="D56" s="147">
        <f>[1]Transport50VS!S65</f>
        <v>0</v>
      </c>
      <c r="E56" s="147">
        <f>[1]Transport50VS!T65</f>
        <v>1</v>
      </c>
      <c r="F56" s="147">
        <f>[1]Transport50VS!U65</f>
        <v>0</v>
      </c>
      <c r="G56" s="147">
        <f>[1]Transport50VS!V65</f>
        <v>0</v>
      </c>
      <c r="H56" s="147">
        <f>[1]Transport50VS!X65</f>
        <v>0</v>
      </c>
      <c r="I56" s="147">
        <f>[1]Transport50VS!Z65</f>
        <v>0</v>
      </c>
      <c r="J56" s="147">
        <f>[1]Transport50VS!AA65</f>
        <v>1</v>
      </c>
      <c r="K56" s="111"/>
      <c r="L56" s="112" t="s">
        <v>45</v>
      </c>
      <c r="M56" s="1118"/>
      <c r="N56" s="177">
        <f t="shared" ref="N56:S56" si="19">SUM(N52:N55)</f>
        <v>0</v>
      </c>
      <c r="O56" s="177">
        <f t="shared" si="19"/>
        <v>457798.04788826709</v>
      </c>
      <c r="P56" s="177">
        <f t="shared" si="19"/>
        <v>56569.465616538764</v>
      </c>
      <c r="Q56" s="177">
        <f t="shared" si="19"/>
        <v>0</v>
      </c>
      <c r="R56" s="177">
        <f t="shared" si="19"/>
        <v>0</v>
      </c>
      <c r="S56" s="177">
        <f t="shared" si="19"/>
        <v>103936.21496053338</v>
      </c>
      <c r="T56" s="178">
        <f>SUM(M56:S56)</f>
        <v>618303.72846533929</v>
      </c>
    </row>
    <row r="57" spans="1:20">
      <c r="A57" s="148" t="s">
        <v>38</v>
      </c>
      <c r="B57" s="147">
        <f>[1]Transport50VS!Q66</f>
        <v>0</v>
      </c>
      <c r="C57" s="147">
        <f>[1]Transport50VS!R66</f>
        <v>0</v>
      </c>
      <c r="D57" s="147">
        <f>[1]Transport50VS!S66</f>
        <v>0</v>
      </c>
      <c r="E57" s="147">
        <f>[1]Transport50VS!T66</f>
        <v>1</v>
      </c>
      <c r="F57" s="147">
        <f>[1]Transport50VS!U66</f>
        <v>0</v>
      </c>
      <c r="G57" s="147">
        <f>[1]Transport50VS!V66</f>
        <v>0</v>
      </c>
      <c r="H57" s="147">
        <f>[1]Transport50VS!X66</f>
        <v>0</v>
      </c>
      <c r="I57" s="147">
        <f>[1]Transport50VS!Z66</f>
        <v>0</v>
      </c>
      <c r="J57" s="147">
        <f>[1]Transport50VS!AA66</f>
        <v>1</v>
      </c>
      <c r="K57" s="115" t="s">
        <v>19</v>
      </c>
      <c r="L57" s="116"/>
      <c r="M57" s="62">
        <f>M45+M51</f>
        <v>0</v>
      </c>
      <c r="N57" s="179"/>
      <c r="O57" s="179"/>
      <c r="P57" s="179"/>
      <c r="Q57" s="179"/>
      <c r="R57" s="179"/>
      <c r="S57" s="179"/>
      <c r="T57" s="180"/>
    </row>
    <row r="58" spans="1:20" ht="13.5" thickBot="1">
      <c r="A58" s="153" t="s">
        <v>17</v>
      </c>
      <c r="B58" s="147">
        <f>[1]Transport50VS!Q67</f>
        <v>16634.115550814851</v>
      </c>
      <c r="C58" s="147">
        <f>[1]Transport50VS!R67</f>
        <v>384.85250256248418</v>
      </c>
      <c r="D58" s="147">
        <f>[1]Transport50VS!S67</f>
        <v>0</v>
      </c>
      <c r="E58" s="147">
        <f>[1]Transport50VS!T67</f>
        <v>11816.994887798999</v>
      </c>
      <c r="F58" s="147">
        <f>[1]Transport50VS!U67</f>
        <v>1691.833712340926</v>
      </c>
      <c r="G58" s="147">
        <f>[1]Transport50VS!V67</f>
        <v>0</v>
      </c>
      <c r="H58" s="147">
        <f>[1]Transport50VS!X67</f>
        <v>0</v>
      </c>
      <c r="I58" s="147">
        <f>[1]Transport50VS!Z67</f>
        <v>2740.434448112439</v>
      </c>
      <c r="J58" s="147">
        <f>[1]Transport50VS!AA67</f>
        <v>16634.115550814848</v>
      </c>
      <c r="K58" s="103" t="s">
        <v>93</v>
      </c>
      <c r="L58" s="101" t="s">
        <v>24</v>
      </c>
      <c r="M58" s="1116">
        <f>M46+M52</f>
        <v>0</v>
      </c>
      <c r="N58" s="174">
        <f t="shared" ref="N58:T58" si="20">N46+N52</f>
        <v>157312.57700109316</v>
      </c>
      <c r="O58" s="174">
        <f t="shared" si="20"/>
        <v>441518.53864264628</v>
      </c>
      <c r="P58" s="174">
        <f t="shared" si="20"/>
        <v>60215.472326915442</v>
      </c>
      <c r="Q58" s="174">
        <f t="shared" si="20"/>
        <v>20393.907932588525</v>
      </c>
      <c r="R58" s="174">
        <f t="shared" si="20"/>
        <v>0</v>
      </c>
      <c r="S58" s="174">
        <f t="shared" si="20"/>
        <v>189588.95842790499</v>
      </c>
      <c r="T58" s="173">
        <f t="shared" si="20"/>
        <v>869029.45433114842</v>
      </c>
    </row>
    <row r="59" spans="1:20">
      <c r="A59" s="148"/>
      <c r="B59" s="147">
        <f>[1]Transport50VS!Q68</f>
        <v>0</v>
      </c>
      <c r="C59" s="147" t="str">
        <f>[1]Transport50VS!R68</f>
        <v>Electricity</v>
      </c>
      <c r="D59" s="147" t="str">
        <f>[1]Transport50VS!S68</f>
        <v>Gasoline</v>
      </c>
      <c r="E59" s="147" t="str">
        <f>[1]Transport50VS!T68</f>
        <v>Diesel</v>
      </c>
      <c r="F59" s="147" t="str">
        <f>[1]Transport50VS!U68</f>
        <v>Natural gas</v>
      </c>
      <c r="G59" s="147" t="str">
        <f>[1]Transport50VS!V68</f>
        <v>Ethanol</v>
      </c>
      <c r="H59" s="147" t="str">
        <f>[1]Transport50VS!X68</f>
        <v>Biodiesel</v>
      </c>
      <c r="I59" s="147" t="str">
        <f>[1]Transport50VS!Z68</f>
        <v>Biogas</v>
      </c>
      <c r="J59" s="147" t="str">
        <f>[1]Transport50VS!AA68</f>
        <v>Total</v>
      </c>
      <c r="K59" s="106"/>
      <c r="L59" s="101" t="s">
        <v>26</v>
      </c>
      <c r="M59" s="1116">
        <f>M47+M53</f>
        <v>0</v>
      </c>
      <c r="N59" s="174">
        <f t="shared" ref="M59:T62" si="21">N47+N53</f>
        <v>70034.862140209443</v>
      </c>
      <c r="O59" s="174">
        <f t="shared" si="21"/>
        <v>209421.04941145267</v>
      </c>
      <c r="P59" s="174">
        <f t="shared" si="21"/>
        <v>31257.113063233563</v>
      </c>
      <c r="Q59" s="174">
        <f t="shared" si="21"/>
        <v>6663.0461973738729</v>
      </c>
      <c r="R59" s="174">
        <f t="shared" si="21"/>
        <v>0</v>
      </c>
      <c r="S59" s="174">
        <f t="shared" si="21"/>
        <v>0</v>
      </c>
      <c r="T59" s="173">
        <f t="shared" si="21"/>
        <v>317376.07081226952</v>
      </c>
    </row>
    <row r="60" spans="1:20">
      <c r="A60" s="154"/>
      <c r="B60" s="147" t="str">
        <f>[1]Transport50VS!Q69</f>
        <v>TJ</v>
      </c>
      <c r="C60" s="147" t="str">
        <f>[1]Transport50VS!R69</f>
        <v>%</v>
      </c>
      <c r="D60" s="147" t="str">
        <f>[1]Transport50VS!S69</f>
        <v>%</v>
      </c>
      <c r="E60" s="147" t="str">
        <f>[1]Transport50VS!T69</f>
        <v>%</v>
      </c>
      <c r="F60" s="147" t="str">
        <f>[1]Transport50VS!U69</f>
        <v>%</v>
      </c>
      <c r="G60" s="147" t="str">
        <f>[1]Transport50VS!V69</f>
        <v>%</v>
      </c>
      <c r="H60" s="147" t="str">
        <f>[1]Transport50VS!X69</f>
        <v>%</v>
      </c>
      <c r="I60" s="147">
        <f>[1]Transport50VS!Z69</f>
        <v>0</v>
      </c>
      <c r="J60" s="147" t="str">
        <f>[1]Transport50VS!AA69</f>
        <v>%</v>
      </c>
      <c r="K60" s="106"/>
      <c r="L60" s="101" t="s">
        <v>28</v>
      </c>
      <c r="M60" s="1116">
        <f>M48+M54</f>
        <v>0</v>
      </c>
      <c r="N60" s="174">
        <f t="shared" si="21"/>
        <v>36461.804526211788</v>
      </c>
      <c r="O60" s="174">
        <f t="shared" si="21"/>
        <v>35594.009104514465</v>
      </c>
      <c r="P60" s="174">
        <f t="shared" si="21"/>
        <v>6138.7000509452673</v>
      </c>
      <c r="Q60" s="174">
        <f t="shared" si="21"/>
        <v>4364.4517384831879</v>
      </c>
      <c r="R60" s="174">
        <f t="shared" si="21"/>
        <v>0</v>
      </c>
      <c r="S60" s="174">
        <f t="shared" si="21"/>
        <v>15691.745896524317</v>
      </c>
      <c r="T60" s="173">
        <f t="shared" si="21"/>
        <v>98250.711316679008</v>
      </c>
    </row>
    <row r="61" spans="1:20" ht="13.5" thickBot="1">
      <c r="A61" s="1162" t="s">
        <v>40</v>
      </c>
      <c r="B61" s="147">
        <f>[1]Transport50VS!Q70</f>
        <v>34338.82038303194</v>
      </c>
      <c r="C61" s="147">
        <f>[1]Transport50VS!R70</f>
        <v>7.3915953598508E-2</v>
      </c>
      <c r="D61" s="147">
        <f>[1]Transport50VS!S70</f>
        <v>0.16391873777685023</v>
      </c>
      <c r="E61" s="147">
        <f>[1]Transport50VS!T70</f>
        <v>0.52147255116573676</v>
      </c>
      <c r="F61" s="147">
        <f>[1]Transport50VS!U70</f>
        <v>7.7228260007406971E-2</v>
      </c>
      <c r="G61" s="147">
        <f>[1]Transport50VS!V70</f>
        <v>1.8733570031640029E-2</v>
      </c>
      <c r="H61" s="147">
        <f>[1]Transport50VS!X70</f>
        <v>0</v>
      </c>
      <c r="I61" s="147">
        <f>[1]Transport50VS!Z70</f>
        <v>0.14473092741985785</v>
      </c>
      <c r="J61" s="147">
        <f>[1]Transport50VS!AA70</f>
        <v>0.99999999999999978</v>
      </c>
      <c r="K61" s="106"/>
      <c r="L61" s="101" t="s">
        <v>41</v>
      </c>
      <c r="M61" s="75">
        <f>M49+M55</f>
        <v>0</v>
      </c>
      <c r="N61" s="174">
        <f t="shared" si="21"/>
        <v>15731.257700109316</v>
      </c>
      <c r="O61" s="174">
        <f t="shared" si="21"/>
        <v>44151.853864264624</v>
      </c>
      <c r="P61" s="174">
        <f t="shared" si="21"/>
        <v>6021.5472326915442</v>
      </c>
      <c r="Q61" s="174">
        <f t="shared" si="21"/>
        <v>2039.3907932588527</v>
      </c>
      <c r="R61" s="174">
        <f t="shared" si="21"/>
        <v>0</v>
      </c>
      <c r="S61" s="174">
        <f t="shared" si="21"/>
        <v>18958.895842790502</v>
      </c>
      <c r="T61" s="173">
        <f t="shared" si="21"/>
        <v>86902.945433114844</v>
      </c>
    </row>
    <row r="62" spans="1:20" ht="13.5" thickBot="1">
      <c r="A62" s="1163"/>
      <c r="B62" s="147">
        <f>[1]Transport50VS!Q71</f>
        <v>0</v>
      </c>
      <c r="C62" s="147">
        <f>[1]Transport50VS!R71</f>
        <v>1215.0376152630818</v>
      </c>
      <c r="D62" s="147">
        <f>[1]Transport50VS!S71</f>
        <v>6073.0889819813938</v>
      </c>
      <c r="E62" s="147">
        <f>[1]Transport50VS!T71</f>
        <v>17942.173527369145</v>
      </c>
      <c r="F62" s="147">
        <f>[1]Transport50VS!U71</f>
        <v>2915.7754723165635</v>
      </c>
      <c r="G62" s="147">
        <f>[1]Transport50VS!V71</f>
        <v>694.0673122264451</v>
      </c>
      <c r="H62" s="147">
        <f>[1]Transport50VS!X71</f>
        <v>0</v>
      </c>
      <c r="I62" s="147">
        <f>[1]Transport50VS!Z71</f>
        <v>5498.6774738753084</v>
      </c>
      <c r="J62" s="147">
        <f>[1]Transport50VS!AA71</f>
        <v>34338.82038303194</v>
      </c>
      <c r="K62" s="106"/>
      <c r="L62" s="101" t="s">
        <v>32</v>
      </c>
      <c r="M62" s="172">
        <f t="shared" si="21"/>
        <v>0</v>
      </c>
      <c r="N62" s="172">
        <f t="shared" si="21"/>
        <v>279540.50136762374</v>
      </c>
      <c r="O62" s="172">
        <f t="shared" si="21"/>
        <v>730685.45102287806</v>
      </c>
      <c r="P62" s="172">
        <f t="shared" si="21"/>
        <v>103632.83267378583</v>
      </c>
      <c r="Q62" s="172">
        <f t="shared" si="21"/>
        <v>33460.796661704437</v>
      </c>
      <c r="R62" s="172">
        <f t="shared" si="21"/>
        <v>0</v>
      </c>
      <c r="S62" s="172">
        <f t="shared" si="21"/>
        <v>224239.60016721982</v>
      </c>
      <c r="T62" s="173">
        <f t="shared" si="21"/>
        <v>1371559.1818932118</v>
      </c>
    </row>
    <row r="63" spans="1:20" ht="13.5" thickBot="1">
      <c r="K63" s="119"/>
      <c r="L63" s="120"/>
      <c r="M63" s="181"/>
      <c r="N63" s="181"/>
      <c r="O63" s="181"/>
      <c r="P63" s="181"/>
      <c r="Q63" s="181"/>
      <c r="R63" s="181"/>
      <c r="S63" s="181"/>
      <c r="T63" s="182"/>
    </row>
    <row r="64" spans="1:20"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1:20"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1:20"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1:20"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1:20"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1:20"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1:20"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1:20"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1:20"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1:20"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1:20"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1:20"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1:20"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1:20"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1:20"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1:20"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1:20"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1:20"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1:20"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1:20"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1:20"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1:20"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1:20"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1:20"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1:20"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1:20"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1:20"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1:20"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1:20"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1:20"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1:20"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1:20"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1:20"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1:20"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1:20"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1:20"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1:20"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1:20"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1:20"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1:20"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1:20"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1:20"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1:20"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1:20"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1:20"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1:20"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1:20"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1:20"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1:20"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1:20"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1:20"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1:20"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1:20"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1:20"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1:20"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1:20"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1:20"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1:20"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1:20"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1:20"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1:20"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1:20"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</sheetData>
  <mergeCells count="3">
    <mergeCell ref="A20:A21"/>
    <mergeCell ref="A40:A41"/>
    <mergeCell ref="A61:A6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110"/>
  <sheetViews>
    <sheetView workbookViewId="0">
      <selection activeCell="K11" sqref="K11:K13"/>
    </sheetView>
  </sheetViews>
  <sheetFormatPr defaultColWidth="8.7109375" defaultRowHeight="12.75"/>
  <cols>
    <col min="1" max="1" width="17.5703125" customWidth="1"/>
    <col min="5" max="5" width="9.85546875" bestFit="1" customWidth="1"/>
    <col min="7" max="7" width="9.42578125" bestFit="1" customWidth="1"/>
    <col min="13" max="13" width="9.28515625" bestFit="1" customWidth="1"/>
    <col min="14" max="14" width="10" bestFit="1" customWidth="1"/>
    <col min="15" max="15" width="10.42578125" customWidth="1"/>
    <col min="16" max="16" width="18" customWidth="1"/>
    <col min="17" max="17" width="19.28515625" customWidth="1"/>
    <col min="18" max="18" width="10" bestFit="1" customWidth="1"/>
  </cols>
  <sheetData>
    <row r="1" spans="1:21">
      <c r="A1" s="851" t="s">
        <v>318</v>
      </c>
    </row>
    <row r="2" spans="1:21" ht="15">
      <c r="A2" s="852" t="s">
        <v>319</v>
      </c>
      <c r="B2" s="852"/>
      <c r="C2" s="852"/>
      <c r="D2" s="852"/>
      <c r="E2" s="852"/>
      <c r="G2" s="1164" t="s">
        <v>320</v>
      </c>
      <c r="H2" s="1165"/>
      <c r="I2" s="1165"/>
      <c r="J2" s="1165"/>
      <c r="K2" s="1166"/>
      <c r="R2">
        <v>2010</v>
      </c>
      <c r="S2">
        <v>2015</v>
      </c>
    </row>
    <row r="3" spans="1:21" ht="15">
      <c r="E3" s="58"/>
      <c r="F3" s="853">
        <v>2012</v>
      </c>
      <c r="G3" s="853">
        <v>2015</v>
      </c>
      <c r="H3" s="829">
        <v>2020</v>
      </c>
      <c r="I3" s="829">
        <v>2025</v>
      </c>
      <c r="J3" s="829">
        <v>2030</v>
      </c>
      <c r="K3" s="829">
        <v>2035</v>
      </c>
      <c r="L3" s="853">
        <v>2040</v>
      </c>
      <c r="M3" s="829">
        <v>2045</v>
      </c>
      <c r="N3" s="829">
        <v>2050</v>
      </c>
      <c r="Q3" s="854" t="s">
        <v>321</v>
      </c>
      <c r="R3" s="128">
        <v>228</v>
      </c>
      <c r="S3" s="128">
        <v>217.90365597825797</v>
      </c>
    </row>
    <row r="4" spans="1:21" s="852" customFormat="1" ht="15">
      <c r="A4"/>
      <c r="B4"/>
      <c r="C4"/>
      <c r="D4"/>
      <c r="E4" s="855" t="s">
        <v>322</v>
      </c>
      <c r="F4" s="853">
        <v>109</v>
      </c>
      <c r="G4" s="853">
        <v>111</v>
      </c>
      <c r="H4" s="830">
        <v>113</v>
      </c>
      <c r="I4" s="830">
        <v>116</v>
      </c>
      <c r="J4" s="830">
        <v>121</v>
      </c>
      <c r="K4" s="830">
        <v>128</v>
      </c>
      <c r="Q4" s="854" t="s">
        <v>5</v>
      </c>
      <c r="R4" s="128">
        <v>10501.152590001275</v>
      </c>
      <c r="S4" s="128">
        <v>12866.21833970031</v>
      </c>
      <c r="T4"/>
      <c r="U4"/>
    </row>
    <row r="5" spans="1:21" s="852" customFormat="1" ht="15">
      <c r="A5"/>
      <c r="B5">
        <v>2012</v>
      </c>
      <c r="C5"/>
      <c r="D5"/>
      <c r="E5" s="855" t="s">
        <v>323</v>
      </c>
      <c r="F5" s="856">
        <v>100</v>
      </c>
      <c r="G5" s="831">
        <f>G4*100/$F$4</f>
        <v>101.8348623853211</v>
      </c>
      <c r="H5" s="831">
        <f>H4*100/$F$4</f>
        <v>103.6697247706422</v>
      </c>
      <c r="I5" s="831">
        <f>I4*100/$F$4</f>
        <v>106.42201834862385</v>
      </c>
      <c r="J5" s="831">
        <f>J4*100/$F$4</f>
        <v>111.0091743119266</v>
      </c>
      <c r="K5" s="831">
        <f>K4*100/$F$4</f>
        <v>117.43119266055047</v>
      </c>
      <c r="L5" s="857">
        <v>1.0580000000000001</v>
      </c>
      <c r="M5" s="832">
        <v>1.0580000000000001</v>
      </c>
      <c r="N5" s="832">
        <v>1.0580000000000001</v>
      </c>
      <c r="O5" s="852" t="s">
        <v>324</v>
      </c>
      <c r="P5"/>
      <c r="Q5" s="852" t="s">
        <v>6</v>
      </c>
      <c r="R5" s="128">
        <v>19156.987701494523</v>
      </c>
      <c r="S5" s="128">
        <v>20052.235278773434</v>
      </c>
    </row>
    <row r="6" spans="1:21" s="852" customFormat="1" ht="15">
      <c r="A6"/>
      <c r="B6"/>
      <c r="C6"/>
      <c r="D6"/>
      <c r="E6" s="855" t="s">
        <v>325</v>
      </c>
      <c r="F6" s="856"/>
      <c r="G6" s="831">
        <v>100.85470085470087</v>
      </c>
      <c r="H6" s="831">
        <v>101.70940170940172</v>
      </c>
      <c r="I6" s="831">
        <v>102.56410256410257</v>
      </c>
      <c r="J6" s="831">
        <v>105.12820512820514</v>
      </c>
      <c r="K6" s="831">
        <v>108.54700854700856</v>
      </c>
      <c r="L6" s="833">
        <v>1.032</v>
      </c>
      <c r="M6" s="833">
        <v>1.032</v>
      </c>
      <c r="N6" s="833">
        <v>1.032</v>
      </c>
      <c r="O6" s="858"/>
    </row>
    <row r="7" spans="1:21">
      <c r="A7" s="859" t="s">
        <v>326</v>
      </c>
      <c r="B7">
        <f>B62*J37</f>
        <v>17694.301217600045</v>
      </c>
      <c r="C7">
        <v>4</v>
      </c>
      <c r="D7">
        <f>B7*C7</f>
        <v>70777.204870400179</v>
      </c>
      <c r="E7" s="860" t="s">
        <v>326</v>
      </c>
      <c r="F7" s="861">
        <f>B7</f>
        <v>17694.301217600045</v>
      </c>
      <c r="G7" s="861">
        <f>$B$7*G5/100</f>
        <v>18018.967294987204</v>
      </c>
      <c r="H7" s="861">
        <f>$B$7*H5/100</f>
        <v>18343.633372374359</v>
      </c>
      <c r="I7" s="861">
        <f>$B$7*I5/100</f>
        <v>18830.632488455092</v>
      </c>
      <c r="J7" s="861">
        <f>$B$7*J5/100</f>
        <v>19642.297681922984</v>
      </c>
      <c r="K7" s="861">
        <f>$B$7*K5/100</f>
        <v>20778.628952778035</v>
      </c>
      <c r="L7" s="861">
        <f>K7*L5</f>
        <v>21983.789432039164</v>
      </c>
      <c r="M7" s="861">
        <f>L7*M5</f>
        <v>23258.849219097436</v>
      </c>
      <c r="N7" s="861">
        <f>M7*N5</f>
        <v>24607.862473805089</v>
      </c>
      <c r="O7" s="862"/>
      <c r="P7" s="852"/>
      <c r="Q7" s="852"/>
      <c r="R7" s="852"/>
      <c r="S7" s="852" t="s">
        <v>24</v>
      </c>
      <c r="T7" s="852"/>
      <c r="U7" s="852"/>
    </row>
    <row r="8" spans="1:21">
      <c r="A8" s="859" t="s">
        <v>327</v>
      </c>
      <c r="B8">
        <f>B68*J38</f>
        <v>18625.730994152018</v>
      </c>
      <c r="C8" s="863">
        <v>6</v>
      </c>
      <c r="D8" s="863">
        <f>B8*C8</f>
        <v>111754.3859649121</v>
      </c>
      <c r="E8" s="860" t="s">
        <v>327</v>
      </c>
      <c r="F8" s="861">
        <f>B8</f>
        <v>18625.730994152018</v>
      </c>
      <c r="G8" s="861">
        <f>$B$8*G5/100</f>
        <v>18967.487526154808</v>
      </c>
      <c r="H8" s="861">
        <f>$B$8*H5/100</f>
        <v>19309.244058157597</v>
      </c>
      <c r="I8" s="861">
        <f>$B$8*I5/100</f>
        <v>19821.87885616178</v>
      </c>
      <c r="J8" s="861">
        <f>$B$8*J5/100</f>
        <v>20676.270186168753</v>
      </c>
      <c r="K8" s="861">
        <f>$B$8*K5/100</f>
        <v>21872.418048178515</v>
      </c>
      <c r="L8" s="861">
        <f>K8*L5</f>
        <v>23141.01829497287</v>
      </c>
      <c r="M8" s="861">
        <f>L8*M5</f>
        <v>24483.197356081298</v>
      </c>
      <c r="N8" s="861">
        <f>M8*N5</f>
        <v>25903.222802734013</v>
      </c>
      <c r="O8" s="862"/>
      <c r="S8" s="854" t="s">
        <v>321</v>
      </c>
      <c r="T8" s="863">
        <f>(R3*F13)/1000</f>
        <v>6810.2333333333336</v>
      </c>
      <c r="U8">
        <v>1000</v>
      </c>
    </row>
    <row r="9" spans="1:21">
      <c r="A9" s="854" t="s">
        <v>328</v>
      </c>
      <c r="B9" s="864">
        <f>SUM(D7:D8)/10</f>
        <v>18253.159083531227</v>
      </c>
      <c r="E9" s="865" t="s">
        <v>329</v>
      </c>
      <c r="F9" s="866">
        <v>31000</v>
      </c>
      <c r="G9" s="867">
        <f>$F$9*G5/100</f>
        <v>31568.807339449544</v>
      </c>
      <c r="H9" s="867">
        <f>$F$9*H5/100-H20</f>
        <v>22537.614678899081</v>
      </c>
      <c r="I9" s="867">
        <f>$F$9*I5/100-I20</f>
        <v>23390.82568807339</v>
      </c>
      <c r="J9" s="867">
        <f>$F$9*J5/100-J20</f>
        <v>24812.84403669725</v>
      </c>
      <c r="K9" s="867">
        <f>$F$9*K5/100-K20</f>
        <v>26803.669724770647</v>
      </c>
      <c r="L9" s="861">
        <f>K9*L5</f>
        <v>28358.282568807346</v>
      </c>
      <c r="M9" s="861">
        <f>L9*M5</f>
        <v>30003.062957798174</v>
      </c>
      <c r="N9" s="861">
        <f>M9*N5</f>
        <v>31743.240609350469</v>
      </c>
      <c r="O9" s="862"/>
      <c r="S9" s="854" t="s">
        <v>5</v>
      </c>
      <c r="T9" s="863">
        <f>(R4*B8)/1000</f>
        <v>195591.64326990649</v>
      </c>
    </row>
    <row r="10" spans="1:21">
      <c r="A10" s="854"/>
      <c r="B10" s="864"/>
      <c r="E10" s="865" t="s">
        <v>330</v>
      </c>
      <c r="F10" s="866">
        <v>21128</v>
      </c>
      <c r="G10" s="867">
        <f>$F$10*G5/100</f>
        <v>21515.669724770643</v>
      </c>
      <c r="H10" s="867">
        <f>$F$10*H5/100</f>
        <v>21903.339449541283</v>
      </c>
      <c r="I10" s="867">
        <f>$F$10*I5/100</f>
        <v>22484.844036697246</v>
      </c>
      <c r="J10" s="867">
        <f>$F$10*J5/100</f>
        <v>23454.018348623853</v>
      </c>
      <c r="K10" s="867">
        <f>$F$10*K5/100</f>
        <v>24810.862385321103</v>
      </c>
      <c r="L10" s="861">
        <f t="shared" ref="L10:N11" si="0">K10*L5</f>
        <v>26249.892403669728</v>
      </c>
      <c r="M10" s="861">
        <f t="shared" si="0"/>
        <v>27772.386163082574</v>
      </c>
      <c r="N10" s="861">
        <f t="shared" si="0"/>
        <v>29383.184560541365</v>
      </c>
      <c r="O10" s="862"/>
      <c r="S10" s="852" t="s">
        <v>6</v>
      </c>
      <c r="T10" s="863">
        <f>(R5*B7)/1000</f>
        <v>338969.51081210363</v>
      </c>
    </row>
    <row r="11" spans="1:21">
      <c r="A11" s="854"/>
      <c r="B11" s="864"/>
      <c r="D11">
        <f>F11*100/F12</f>
        <v>167.07171416393348</v>
      </c>
      <c r="E11" s="865" t="s">
        <v>556</v>
      </c>
      <c r="F11" s="866">
        <v>22316.334933762719</v>
      </c>
      <c r="G11" s="866">
        <f>$F$11*G6/100</f>
        <v>22507.072839179495</v>
      </c>
      <c r="H11" s="866">
        <f>$F$11*H6/100</f>
        <v>22697.810744596274</v>
      </c>
      <c r="I11" s="866">
        <f>$F$11*I6/100</f>
        <v>22888.548650013046</v>
      </c>
      <c r="J11" s="866">
        <f>$F$11*J6/100</f>
        <v>23460.762366263374</v>
      </c>
      <c r="K11" s="866">
        <f>$F$11*K6/100</f>
        <v>24223.713987930474</v>
      </c>
      <c r="L11" s="861">
        <f t="shared" si="0"/>
        <v>24998.872835544251</v>
      </c>
      <c r="M11" s="861">
        <f t="shared" si="0"/>
        <v>25798.836766281667</v>
      </c>
      <c r="N11" s="861">
        <f t="shared" si="0"/>
        <v>26624.399542802683</v>
      </c>
      <c r="O11" s="868" t="s">
        <v>405</v>
      </c>
      <c r="T11" s="863">
        <v>0</v>
      </c>
    </row>
    <row r="12" spans="1:21">
      <c r="A12" s="854"/>
      <c r="C12">
        <f>B13*100/F12</f>
        <v>79.357124518613617</v>
      </c>
      <c r="E12" s="865" t="s">
        <v>332</v>
      </c>
      <c r="F12" s="869">
        <v>13357.338820301782</v>
      </c>
      <c r="G12" s="866">
        <f>$F$12*G6/100</f>
        <v>13471.504109364192</v>
      </c>
      <c r="H12" s="866">
        <f>$F$12*H6/100</f>
        <v>13585.6693984266</v>
      </c>
      <c r="I12" s="866">
        <f>$F$12*I6/100</f>
        <v>13699.834687489009</v>
      </c>
      <c r="J12" s="866">
        <f>$F$12*J6/100</f>
        <v>14042.330554676233</v>
      </c>
      <c r="K12" s="866">
        <f>$F$12*K6/100</f>
        <v>14498.991710925868</v>
      </c>
      <c r="L12" s="866">
        <f>K12*L6</f>
        <v>14962.959445675497</v>
      </c>
      <c r="M12" s="866">
        <f>L12*M6</f>
        <v>15441.774147937113</v>
      </c>
      <c r="N12" s="866">
        <f>M12*N6</f>
        <v>15935.9109206711</v>
      </c>
      <c r="O12" s="862"/>
      <c r="P12">
        <v>36400</v>
      </c>
      <c r="T12" s="863">
        <v>0</v>
      </c>
    </row>
    <row r="13" spans="1:21">
      <c r="A13" s="854"/>
      <c r="B13">
        <v>10600</v>
      </c>
      <c r="E13" s="865" t="s">
        <v>4</v>
      </c>
      <c r="F13" s="866">
        <f>$P$87</f>
        <v>29869.444444444445</v>
      </c>
      <c r="G13" s="866">
        <f t="shared" ref="G13:N13" si="1">$P$87</f>
        <v>29869.444444444445</v>
      </c>
      <c r="H13" s="866">
        <f t="shared" si="1"/>
        <v>29869.444444444445</v>
      </c>
      <c r="I13" s="866">
        <f t="shared" si="1"/>
        <v>29869.444444444445</v>
      </c>
      <c r="J13" s="866">
        <f t="shared" si="1"/>
        <v>29869.444444444445</v>
      </c>
      <c r="K13" s="866">
        <f t="shared" si="1"/>
        <v>29869.444444444445</v>
      </c>
      <c r="L13" s="866">
        <f t="shared" si="1"/>
        <v>29869.444444444445</v>
      </c>
      <c r="M13" s="866">
        <f t="shared" si="1"/>
        <v>29869.444444444445</v>
      </c>
      <c r="N13" s="866">
        <f t="shared" si="1"/>
        <v>29869.444444444445</v>
      </c>
      <c r="O13" s="862"/>
      <c r="T13" s="863">
        <v>0</v>
      </c>
    </row>
    <row r="14" spans="1:21">
      <c r="E14" s="870"/>
      <c r="F14" s="871"/>
      <c r="G14" s="871"/>
      <c r="H14" s="871"/>
      <c r="I14" s="871"/>
      <c r="J14" s="871"/>
      <c r="K14" s="871"/>
      <c r="L14" s="871"/>
      <c r="M14" s="871"/>
      <c r="N14" s="871"/>
      <c r="O14" s="862"/>
      <c r="T14" s="863">
        <v>0</v>
      </c>
    </row>
    <row r="15" spans="1:21" s="872" customFormat="1" ht="15">
      <c r="B15" s="852" t="s">
        <v>333</v>
      </c>
      <c r="C15" s="852"/>
      <c r="F15" s="853">
        <v>2012</v>
      </c>
      <c r="G15" s="853">
        <v>2015</v>
      </c>
      <c r="H15" s="829">
        <v>2020</v>
      </c>
      <c r="I15" s="829">
        <v>2025</v>
      </c>
      <c r="J15" s="829">
        <v>2030</v>
      </c>
      <c r="K15" s="829">
        <v>2035</v>
      </c>
      <c r="L15" s="853">
        <v>2040</v>
      </c>
      <c r="M15" s="829">
        <v>2045</v>
      </c>
      <c r="N15" s="829">
        <v>2050</v>
      </c>
      <c r="O15" s="862"/>
      <c r="P15"/>
      <c r="Q15"/>
      <c r="R15"/>
      <c r="S15"/>
      <c r="T15" s="863">
        <v>0</v>
      </c>
      <c r="U15"/>
    </row>
    <row r="16" spans="1:21">
      <c r="A16" s="864" t="s">
        <v>328</v>
      </c>
      <c r="B16" s="864">
        <f>SUM(D17:D18)/10</f>
        <v>11640.305589407621</v>
      </c>
      <c r="C16">
        <v>11030</v>
      </c>
      <c r="D16">
        <f>B16*100/C16</f>
        <v>105.53314224304279</v>
      </c>
      <c r="E16" s="873"/>
      <c r="F16" s="874">
        <v>100</v>
      </c>
      <c r="G16" s="874">
        <v>100</v>
      </c>
      <c r="H16" s="874">
        <v>100</v>
      </c>
      <c r="I16" s="874">
        <v>100</v>
      </c>
      <c r="J16" s="874">
        <v>100</v>
      </c>
      <c r="K16" s="874">
        <v>100</v>
      </c>
      <c r="L16" s="874">
        <v>100</v>
      </c>
      <c r="M16" s="874">
        <v>100</v>
      </c>
      <c r="N16" s="874">
        <v>100</v>
      </c>
      <c r="O16" s="862"/>
      <c r="P16" s="852" t="s">
        <v>334</v>
      </c>
      <c r="Q16" s="872"/>
      <c r="R16" s="872"/>
      <c r="S16" s="875" t="s">
        <v>26</v>
      </c>
      <c r="T16" s="876">
        <v>0</v>
      </c>
      <c r="U16" s="872"/>
    </row>
    <row r="17" spans="1:20">
      <c r="A17" s="859" t="s">
        <v>326</v>
      </c>
      <c r="B17" s="877">
        <f>B61*J37</f>
        <v>10284.974499834872</v>
      </c>
      <c r="C17" s="863">
        <v>4</v>
      </c>
      <c r="D17" s="863">
        <f>B17*C17</f>
        <v>41139.89799933949</v>
      </c>
      <c r="E17" s="859" t="s">
        <v>326</v>
      </c>
      <c r="F17" s="878">
        <f>B17</f>
        <v>10284.974499834872</v>
      </c>
      <c r="G17" s="878">
        <f>$B$17*G16/100</f>
        <v>10284.974499834872</v>
      </c>
      <c r="H17" s="878">
        <f t="shared" ref="H17:N17" si="2">9600+$P$18*1.4</f>
        <v>11672</v>
      </c>
      <c r="I17" s="878">
        <f t="shared" si="2"/>
        <v>11672</v>
      </c>
      <c r="J17" s="878">
        <f t="shared" si="2"/>
        <v>11672</v>
      </c>
      <c r="K17" s="878">
        <f t="shared" si="2"/>
        <v>11672</v>
      </c>
      <c r="L17" s="878">
        <f t="shared" si="2"/>
        <v>11672</v>
      </c>
      <c r="M17" s="878">
        <f t="shared" si="2"/>
        <v>11672</v>
      </c>
      <c r="N17" s="878">
        <f t="shared" si="2"/>
        <v>11672</v>
      </c>
      <c r="O17" s="862"/>
      <c r="P17" s="859"/>
      <c r="S17" s="854" t="s">
        <v>321</v>
      </c>
      <c r="T17" s="863">
        <v>0</v>
      </c>
    </row>
    <row r="18" spans="1:20">
      <c r="A18" s="859" t="s">
        <v>327</v>
      </c>
      <c r="B18" s="877">
        <f>J38*B67</f>
        <v>12543.859649122787</v>
      </c>
      <c r="C18" s="863">
        <v>6</v>
      </c>
      <c r="D18" s="863">
        <f>B18*C18</f>
        <v>75263.157894736723</v>
      </c>
      <c r="E18" s="859" t="s">
        <v>327</v>
      </c>
      <c r="F18" s="878">
        <f>B18</f>
        <v>12543.859649122787</v>
      </c>
      <c r="G18" s="878">
        <f>$B$18*G16/100</f>
        <v>12543.859649122787</v>
      </c>
      <c r="H18" s="878">
        <f t="shared" ref="H18:N18" si="3">9600+$P$19*1.4</f>
        <v>11532</v>
      </c>
      <c r="I18" s="878">
        <f t="shared" si="3"/>
        <v>11532</v>
      </c>
      <c r="J18" s="878">
        <f t="shared" si="3"/>
        <v>11532</v>
      </c>
      <c r="K18" s="878">
        <f t="shared" si="3"/>
        <v>11532</v>
      </c>
      <c r="L18" s="878">
        <f t="shared" si="3"/>
        <v>11532</v>
      </c>
      <c r="M18" s="878">
        <f t="shared" si="3"/>
        <v>11532</v>
      </c>
      <c r="N18" s="878">
        <f t="shared" si="3"/>
        <v>11532</v>
      </c>
      <c r="O18" s="863">
        <f>J18+J8</f>
        <v>32208.270186168753</v>
      </c>
      <c r="P18" s="859">
        <v>1480</v>
      </c>
      <c r="S18" s="854" t="s">
        <v>5</v>
      </c>
      <c r="T18" s="863">
        <f>(R4*F18)/1000</f>
        <v>131724.98424299824</v>
      </c>
    </row>
    <row r="19" spans="1:20">
      <c r="A19" s="854" t="s">
        <v>335</v>
      </c>
      <c r="C19" s="877"/>
      <c r="E19" s="859" t="s">
        <v>335</v>
      </c>
      <c r="F19" s="879">
        <v>1</v>
      </c>
      <c r="G19" s="879">
        <v>1</v>
      </c>
      <c r="H19" s="1167" t="s">
        <v>336</v>
      </c>
      <c r="I19" s="1167"/>
      <c r="J19" s="1167"/>
      <c r="K19" s="1167"/>
      <c r="L19" s="879"/>
      <c r="M19" s="1167"/>
      <c r="N19" s="1167"/>
      <c r="P19" s="859">
        <v>1380</v>
      </c>
      <c r="S19" s="852" t="s">
        <v>6</v>
      </c>
      <c r="T19" s="863">
        <f>(R5*F17)/1000</f>
        <v>197029.13000352145</v>
      </c>
    </row>
    <row r="20" spans="1:20">
      <c r="A20" s="859" t="s">
        <v>329</v>
      </c>
      <c r="B20" s="877"/>
      <c r="C20" s="877"/>
      <c r="E20" s="859" t="s">
        <v>329</v>
      </c>
      <c r="F20" s="866">
        <f>B17</f>
        <v>10284.974499834872</v>
      </c>
      <c r="G20" s="866">
        <f>G17</f>
        <v>10284.974499834872</v>
      </c>
      <c r="H20" s="866">
        <v>9600</v>
      </c>
      <c r="I20" s="866">
        <v>9600</v>
      </c>
      <c r="J20" s="866">
        <v>9600</v>
      </c>
      <c r="K20" s="866">
        <v>9600</v>
      </c>
      <c r="L20" s="866">
        <v>9600</v>
      </c>
      <c r="M20" s="866">
        <v>9600</v>
      </c>
      <c r="N20" s="866">
        <v>9600</v>
      </c>
      <c r="P20" s="859"/>
      <c r="T20" s="863">
        <f>SUM(T18:T19)</f>
        <v>328754.11424651969</v>
      </c>
    </row>
    <row r="21" spans="1:20">
      <c r="A21" s="859" t="s">
        <v>330</v>
      </c>
      <c r="B21" s="877"/>
      <c r="C21" s="877"/>
      <c r="E21" s="859" t="s">
        <v>330</v>
      </c>
      <c r="F21" s="866">
        <f>B18</f>
        <v>12543.859649122787</v>
      </c>
      <c r="G21" s="866">
        <f>G18</f>
        <v>12543.859649122787</v>
      </c>
      <c r="H21" s="866">
        <v>9600</v>
      </c>
      <c r="I21" s="866">
        <v>9600</v>
      </c>
      <c r="J21" s="866">
        <v>9600</v>
      </c>
      <c r="K21" s="866">
        <v>9600</v>
      </c>
      <c r="L21" s="866">
        <v>9600</v>
      </c>
      <c r="M21" s="866">
        <v>9600</v>
      </c>
      <c r="N21" s="866">
        <v>9600</v>
      </c>
      <c r="O21" s="863">
        <f>H21+H25</f>
        <v>32700</v>
      </c>
      <c r="P21" s="859"/>
    </row>
    <row r="22" spans="1:20">
      <c r="A22" s="859" t="s">
        <v>331</v>
      </c>
      <c r="B22" s="877"/>
      <c r="C22" s="877"/>
      <c r="E22" s="859" t="s">
        <v>331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P22" s="859"/>
    </row>
    <row r="23" spans="1:20">
      <c r="A23" s="859" t="s">
        <v>87</v>
      </c>
      <c r="B23" s="877"/>
      <c r="C23" s="877"/>
      <c r="E23" s="859" t="s">
        <v>87</v>
      </c>
      <c r="F23" s="866">
        <v>0</v>
      </c>
      <c r="G23" s="866">
        <v>3000</v>
      </c>
      <c r="H23" s="880">
        <v>5000</v>
      </c>
      <c r="I23" s="880">
        <f t="shared" ref="I23:N23" si="4">9600+$P$24</f>
        <v>10720</v>
      </c>
      <c r="J23" s="880">
        <f t="shared" si="4"/>
        <v>10720</v>
      </c>
      <c r="K23" s="880">
        <f t="shared" si="4"/>
        <v>10720</v>
      </c>
      <c r="L23" s="880">
        <f t="shared" si="4"/>
        <v>10720</v>
      </c>
      <c r="M23" s="880">
        <f t="shared" si="4"/>
        <v>10720</v>
      </c>
      <c r="N23" s="880">
        <f t="shared" si="4"/>
        <v>10720</v>
      </c>
      <c r="P23" s="859"/>
    </row>
    <row r="24" spans="1:20">
      <c r="A24" s="859" t="s">
        <v>4</v>
      </c>
      <c r="B24" s="877"/>
      <c r="C24" s="877"/>
      <c r="E24" s="859" t="s">
        <v>4</v>
      </c>
      <c r="F24" s="881">
        <v>1241.5999999999999</v>
      </c>
      <c r="G24" s="881">
        <v>1241.5999999999999</v>
      </c>
      <c r="H24" s="881">
        <v>1241.5999999999999</v>
      </c>
      <c r="I24" s="881">
        <v>1241.5999999999999</v>
      </c>
      <c r="J24" s="881">
        <v>1241.5999999999999</v>
      </c>
      <c r="K24" s="881">
        <v>1241.5999999999999</v>
      </c>
      <c r="L24" s="881"/>
      <c r="M24" s="881"/>
      <c r="N24" s="881"/>
      <c r="P24" s="859">
        <v>1120</v>
      </c>
    </row>
    <row r="25" spans="1:20">
      <c r="A25" s="859"/>
      <c r="B25" s="877"/>
      <c r="C25" s="877"/>
      <c r="F25" s="882"/>
      <c r="G25" s="877"/>
      <c r="H25">
        <v>23100</v>
      </c>
      <c r="I25" s="877"/>
      <c r="K25" s="877"/>
      <c r="M25" s="877"/>
      <c r="P25" s="859" t="s">
        <v>337</v>
      </c>
    </row>
    <row r="26" spans="1:20" s="872" customFormat="1">
      <c r="A26" s="852" t="s">
        <v>338</v>
      </c>
      <c r="B26" s="883"/>
      <c r="C26" s="883"/>
      <c r="F26" s="884"/>
      <c r="G26" s="883"/>
      <c r="I26" s="883"/>
      <c r="K26" s="883"/>
      <c r="M26" s="883"/>
    </row>
    <row r="27" spans="1:20">
      <c r="B27" s="877"/>
      <c r="C27" s="877"/>
      <c r="E27" s="859" t="s">
        <v>326</v>
      </c>
      <c r="F27" s="882"/>
      <c r="G27" s="877"/>
      <c r="I27" s="885">
        <f t="shared" ref="I27:K28" si="5">I5-H5</f>
        <v>2.7522935779816464</v>
      </c>
      <c r="J27" s="885">
        <f t="shared" si="5"/>
        <v>4.5871559633027488</v>
      </c>
      <c r="K27" s="885">
        <f t="shared" si="5"/>
        <v>6.4220183486238653</v>
      </c>
      <c r="M27" s="877"/>
    </row>
    <row r="28" spans="1:20">
      <c r="B28" s="877"/>
      <c r="C28" s="877"/>
      <c r="E28" s="859" t="s">
        <v>327</v>
      </c>
      <c r="F28" s="882"/>
      <c r="G28" s="877"/>
      <c r="I28" s="885">
        <f t="shared" si="5"/>
        <v>0.85470085470085166</v>
      </c>
      <c r="J28" s="885">
        <f t="shared" si="5"/>
        <v>2.5641025641025692</v>
      </c>
      <c r="K28" s="885">
        <f t="shared" si="5"/>
        <v>3.4188034188034209</v>
      </c>
      <c r="M28" s="877"/>
    </row>
    <row r="29" spans="1:20">
      <c r="B29" s="877"/>
      <c r="C29" s="877"/>
      <c r="E29" s="859" t="s">
        <v>329</v>
      </c>
      <c r="F29" s="882"/>
    </row>
    <row r="30" spans="1:20">
      <c r="B30" s="877"/>
      <c r="C30" s="877"/>
      <c r="E30" s="859" t="s">
        <v>330</v>
      </c>
      <c r="F30" s="882"/>
    </row>
    <row r="31" spans="1:20">
      <c r="B31" s="877"/>
      <c r="C31" s="877"/>
      <c r="E31" s="859" t="s">
        <v>331</v>
      </c>
      <c r="F31" s="882"/>
    </row>
    <row r="32" spans="1:20">
      <c r="B32" s="877"/>
      <c r="C32" s="877"/>
      <c r="E32" s="859" t="s">
        <v>87</v>
      </c>
      <c r="F32" s="882"/>
    </row>
    <row r="33" spans="1:13">
      <c r="B33" s="877"/>
      <c r="C33" s="877"/>
      <c r="E33" s="859" t="s">
        <v>4</v>
      </c>
      <c r="F33" s="882"/>
    </row>
    <row r="34" spans="1:13">
      <c r="G34" s="886"/>
      <c r="H34" s="886"/>
      <c r="I34" s="886"/>
      <c r="J34" s="886"/>
      <c r="K34" s="886"/>
      <c r="L34" s="886"/>
    </row>
    <row r="35" spans="1:13" s="872" customFormat="1">
      <c r="B35" s="852" t="s">
        <v>339</v>
      </c>
      <c r="C35" s="852"/>
    </row>
    <row r="36" spans="1:13">
      <c r="B36" s="859" t="s">
        <v>340</v>
      </c>
      <c r="C36" s="859" t="s">
        <v>341</v>
      </c>
      <c r="D36" s="859"/>
      <c r="J36" s="859" t="s">
        <v>342</v>
      </c>
      <c r="K36" s="859" t="s">
        <v>341</v>
      </c>
      <c r="L36" s="859"/>
      <c r="M36" s="859"/>
    </row>
    <row r="37" spans="1:13">
      <c r="A37" s="859" t="s">
        <v>326</v>
      </c>
      <c r="B37" s="877">
        <f>J37*B59</f>
        <v>35880.830433932737</v>
      </c>
      <c r="C37" s="863">
        <v>4</v>
      </c>
      <c r="D37" s="863">
        <f>B37*C37</f>
        <v>143523.32173573095</v>
      </c>
      <c r="E37" s="863"/>
      <c r="F37" s="863"/>
      <c r="I37" s="859" t="s">
        <v>326</v>
      </c>
      <c r="J37" s="877">
        <v>25906.7367754027</v>
      </c>
      <c r="K37" s="863">
        <v>4</v>
      </c>
      <c r="L37" s="863">
        <f>J37*K37</f>
        <v>103626.9471016108</v>
      </c>
      <c r="M37" s="863"/>
    </row>
    <row r="38" spans="1:13">
      <c r="A38" s="859" t="s">
        <v>327</v>
      </c>
      <c r="B38" s="877">
        <f>B65*J38</f>
        <v>40116.959064327428</v>
      </c>
      <c r="C38" s="863">
        <v>6</v>
      </c>
      <c r="D38" s="863">
        <f>B38*C38</f>
        <v>240701.75438596457</v>
      </c>
      <c r="E38" s="863"/>
      <c r="F38" s="863"/>
      <c r="I38" s="859" t="s">
        <v>327</v>
      </c>
      <c r="J38" s="877">
        <v>29239.766081871301</v>
      </c>
      <c r="K38" s="863">
        <v>6</v>
      </c>
      <c r="L38" s="863">
        <f>J38*K38</f>
        <v>175438.5964912278</v>
      </c>
      <c r="M38" s="863"/>
    </row>
    <row r="39" spans="1:13">
      <c r="B39" s="877">
        <f>SUM(D37:D38)/10</f>
        <v>38422.507612169553</v>
      </c>
      <c r="C39" s="877"/>
      <c r="E39" s="877"/>
      <c r="F39" s="877"/>
      <c r="I39" s="859" t="s">
        <v>343</v>
      </c>
      <c r="J39" s="863"/>
      <c r="K39" s="863"/>
      <c r="L39" s="877">
        <f>SUM(L37:L38)/10</f>
        <v>27906.554359283859</v>
      </c>
      <c r="M39" s="877"/>
    </row>
    <row r="40" spans="1:13">
      <c r="B40" s="887" t="s">
        <v>344</v>
      </c>
      <c r="C40" s="888"/>
      <c r="D40" s="888"/>
      <c r="E40" s="888"/>
      <c r="F40" s="863"/>
      <c r="I40" s="889" t="s">
        <v>345</v>
      </c>
      <c r="J40" s="888"/>
      <c r="K40" s="863"/>
      <c r="L40" s="863"/>
      <c r="M40" s="863"/>
    </row>
    <row r="41" spans="1:13">
      <c r="B41" s="888"/>
      <c r="C41" s="888"/>
      <c r="D41" s="888">
        <f>B39</f>
        <v>38422.507612169553</v>
      </c>
      <c r="E41" s="888"/>
      <c r="F41" s="863"/>
      <c r="G41" s="863"/>
      <c r="H41" s="863"/>
      <c r="I41" s="890"/>
      <c r="J41" s="888">
        <v>27906.55</v>
      </c>
      <c r="K41" s="863"/>
      <c r="L41" s="863"/>
      <c r="M41" s="863"/>
    </row>
    <row r="43" spans="1:13" s="872" customFormat="1">
      <c r="B43" s="852" t="s">
        <v>346</v>
      </c>
      <c r="C43" s="852"/>
      <c r="D43" s="852"/>
    </row>
    <row r="45" spans="1:13">
      <c r="A45" s="859" t="s">
        <v>326</v>
      </c>
      <c r="B45" s="891">
        <f>SUM(B59-B60)*J37</f>
        <v>29896.374238814715</v>
      </c>
      <c r="C45" s="863">
        <v>4</v>
      </c>
      <c r="D45" s="863">
        <f>B45*C45</f>
        <v>119585.49695525886</v>
      </c>
    </row>
    <row r="46" spans="1:13">
      <c r="A46" s="859" t="s">
        <v>327</v>
      </c>
      <c r="B46" s="891">
        <f>SUM(B65-B66)*J38</f>
        <v>33421.052631578896</v>
      </c>
      <c r="C46" s="863">
        <v>6</v>
      </c>
      <c r="D46" s="863">
        <f>B46*C46</f>
        <v>200526.31578947336</v>
      </c>
    </row>
    <row r="47" spans="1:13">
      <c r="B47" s="891">
        <f>SUM(D45:D46)/10</f>
        <v>32011.181274473223</v>
      </c>
      <c r="C47" s="877"/>
    </row>
    <row r="48" spans="1:13">
      <c r="B48" s="887" t="s">
        <v>347</v>
      </c>
      <c r="C48" s="888"/>
      <c r="D48" s="888"/>
    </row>
    <row r="50" spans="1:11" s="852" customFormat="1" ht="15">
      <c r="A50" s="852" t="s">
        <v>348</v>
      </c>
      <c r="C50" s="883"/>
      <c r="I50" s="892"/>
      <c r="J50" s="892"/>
      <c r="K50" s="893"/>
    </row>
    <row r="51" spans="1:11" ht="15">
      <c r="A51" s="854" t="s">
        <v>326</v>
      </c>
      <c r="C51" s="877"/>
      <c r="I51" s="894"/>
      <c r="J51" s="894"/>
      <c r="K51" s="894"/>
    </row>
    <row r="52" spans="1:11" ht="15">
      <c r="A52" s="854" t="s">
        <v>327</v>
      </c>
      <c r="C52" s="877"/>
      <c r="I52" s="894"/>
      <c r="J52" s="894"/>
      <c r="K52" s="894"/>
    </row>
    <row r="53" spans="1:11" ht="15">
      <c r="A53" s="854"/>
      <c r="C53" s="877"/>
      <c r="I53" s="894"/>
      <c r="J53" s="894"/>
      <c r="K53" s="894"/>
    </row>
    <row r="54" spans="1:11" ht="15">
      <c r="A54" s="854"/>
      <c r="C54" s="877"/>
      <c r="I54" s="894"/>
      <c r="J54" s="894"/>
      <c r="K54" s="894"/>
    </row>
    <row r="55" spans="1:11" ht="15">
      <c r="A55" s="854"/>
      <c r="C55" s="877"/>
      <c r="I55" s="894"/>
      <c r="J55" s="894"/>
      <c r="K55" s="894"/>
    </row>
    <row r="57" spans="1:11">
      <c r="A57" s="895" t="s">
        <v>349</v>
      </c>
      <c r="B57" s="895"/>
      <c r="C57" s="895"/>
      <c r="D57" s="895"/>
      <c r="E57" s="895"/>
      <c r="F57" s="895"/>
      <c r="G57" s="895"/>
      <c r="H57" s="895"/>
    </row>
    <row r="58" spans="1:11">
      <c r="B58" s="859">
        <v>2012</v>
      </c>
      <c r="D58" s="896">
        <v>1.05</v>
      </c>
      <c r="E58" s="859" t="s">
        <v>350</v>
      </c>
      <c r="F58" s="859" t="s">
        <v>351</v>
      </c>
      <c r="G58" s="859" t="s">
        <v>352</v>
      </c>
    </row>
    <row r="59" spans="1:11">
      <c r="A59" s="859" t="s">
        <v>353</v>
      </c>
      <c r="B59">
        <v>1.385</v>
      </c>
      <c r="D59" s="897">
        <f>B59*D58</f>
        <v>1.45425</v>
      </c>
      <c r="E59">
        <f>D59-B59</f>
        <v>6.9250000000000034E-2</v>
      </c>
      <c r="F59" s="897">
        <f>SUM(F60:F63)</f>
        <v>1.4544000000000001</v>
      </c>
    </row>
    <row r="60" spans="1:11">
      <c r="A60" s="854" t="s">
        <v>28</v>
      </c>
      <c r="B60">
        <v>0.23100000000000001</v>
      </c>
      <c r="D60" s="897"/>
      <c r="F60" s="897">
        <f>SUM(F61:F63)*0.2</f>
        <v>0.24240000000000006</v>
      </c>
      <c r="G60" s="898"/>
    </row>
    <row r="61" spans="1:11">
      <c r="A61" s="854" t="s">
        <v>26</v>
      </c>
      <c r="B61">
        <v>0.39700000000000002</v>
      </c>
      <c r="D61" s="897"/>
      <c r="F61" s="897">
        <v>0.45500000000000002</v>
      </c>
      <c r="G61" s="898">
        <f>F61*100/B61</f>
        <v>114.60957178841309</v>
      </c>
      <c r="I61">
        <v>0.46625000000000005</v>
      </c>
    </row>
    <row r="62" spans="1:11">
      <c r="A62" s="854" t="s">
        <v>354</v>
      </c>
      <c r="B62">
        <v>0.68300000000000005</v>
      </c>
      <c r="D62" s="897"/>
      <c r="F62" s="897">
        <v>0.68300000000000005</v>
      </c>
      <c r="G62" s="898"/>
    </row>
    <row r="63" spans="1:11">
      <c r="A63" s="854" t="s">
        <v>355</v>
      </c>
      <c r="B63">
        <v>7.3999999999999996E-2</v>
      </c>
      <c r="C63" s="899">
        <v>0.1</v>
      </c>
      <c r="D63" s="897"/>
      <c r="F63" s="897">
        <v>7.3999999999999996E-2</v>
      </c>
      <c r="G63" s="898"/>
    </row>
    <row r="64" spans="1:11">
      <c r="C64" s="897"/>
      <c r="E64" s="897"/>
      <c r="F64" s="859"/>
    </row>
    <row r="65" spans="1:9">
      <c r="A65" s="859" t="s">
        <v>356</v>
      </c>
      <c r="B65">
        <v>1.3720000000000001</v>
      </c>
      <c r="D65" s="897">
        <f>B65*D58</f>
        <v>1.4406000000000001</v>
      </c>
      <c r="E65">
        <f>D65-B65</f>
        <v>6.8599999999999994E-2</v>
      </c>
      <c r="F65" s="897">
        <f>SUM(F66:F69)</f>
        <v>1.4405999999999999</v>
      </c>
      <c r="G65" s="859">
        <v>105</v>
      </c>
    </row>
    <row r="66" spans="1:9">
      <c r="A66" s="854" t="s">
        <v>28</v>
      </c>
      <c r="B66">
        <v>0.22900000000000001</v>
      </c>
      <c r="F66" s="897">
        <f>SUM(F67:F69)*0.2</f>
        <v>0.24009999999999998</v>
      </c>
    </row>
    <row r="67" spans="1:9">
      <c r="A67" s="854" t="s">
        <v>357</v>
      </c>
      <c r="B67">
        <v>0.42899999999999999</v>
      </c>
      <c r="F67" s="897">
        <f>0.4865</f>
        <v>0.48649999999999999</v>
      </c>
      <c r="G67" s="898">
        <f>F67*100/B67</f>
        <v>113.4032634032634</v>
      </c>
      <c r="I67">
        <v>0.49759999999999999</v>
      </c>
    </row>
    <row r="68" spans="1:9">
      <c r="A68" s="854" t="s">
        <v>354</v>
      </c>
      <c r="B68">
        <v>0.63700000000000001</v>
      </c>
      <c r="F68" s="897">
        <v>0.63700000000000001</v>
      </c>
    </row>
    <row r="69" spans="1:9">
      <c r="A69" s="854" t="s">
        <v>358</v>
      </c>
      <c r="B69">
        <v>7.6999999999999999E-2</v>
      </c>
      <c r="F69" s="897">
        <v>7.6999999999999999E-2</v>
      </c>
    </row>
    <row r="72" spans="1:9">
      <c r="A72" s="872"/>
      <c r="B72" s="872"/>
      <c r="C72" s="872"/>
      <c r="D72" s="872"/>
      <c r="E72" s="872"/>
      <c r="F72" s="872"/>
      <c r="G72" s="872"/>
    </row>
    <row r="73" spans="1:9">
      <c r="F73">
        <v>1000000</v>
      </c>
    </row>
    <row r="74" spans="1:9" ht="38.25">
      <c r="D74" s="900" t="s">
        <v>359</v>
      </c>
      <c r="E74">
        <v>2.3449999999999999E-2</v>
      </c>
    </row>
    <row r="75" spans="1:9" ht="38.25">
      <c r="A75" s="854" t="s">
        <v>360</v>
      </c>
      <c r="B75" s="854" t="s">
        <v>21</v>
      </c>
      <c r="D75" s="900" t="s">
        <v>361</v>
      </c>
      <c r="E75" s="901">
        <v>35.200000000000003</v>
      </c>
    </row>
    <row r="76" spans="1:9">
      <c r="A76">
        <v>4.47</v>
      </c>
      <c r="B76" t="s">
        <v>362</v>
      </c>
      <c r="D76" s="854" t="s">
        <v>340</v>
      </c>
      <c r="E76" s="902">
        <f>D80/E80</f>
        <v>666.19318181818176</v>
      </c>
      <c r="F76">
        <v>20</v>
      </c>
      <c r="G76">
        <f>E76*F76</f>
        <v>13323.863636363636</v>
      </c>
    </row>
    <row r="77" spans="1:9">
      <c r="A77">
        <v>1241.5999999999999</v>
      </c>
      <c r="B77">
        <v>1</v>
      </c>
      <c r="D77" s="854" t="s">
        <v>363</v>
      </c>
      <c r="E77" s="854" t="s">
        <v>364</v>
      </c>
    </row>
    <row r="78" spans="1:9">
      <c r="D78">
        <v>2.3449999999999999E-2</v>
      </c>
      <c r="E78">
        <v>35.200000000000003</v>
      </c>
    </row>
    <row r="79" spans="1:9">
      <c r="D79">
        <v>2.3449999999999999E-2</v>
      </c>
      <c r="E79">
        <f>E78/F73</f>
        <v>3.5200000000000002E-5</v>
      </c>
      <c r="F79" s="854" t="s">
        <v>21</v>
      </c>
    </row>
    <row r="80" spans="1:9">
      <c r="D80">
        <f>D79*F73</f>
        <v>23450</v>
      </c>
      <c r="E80">
        <f>E79*F73</f>
        <v>35.200000000000003</v>
      </c>
    </row>
    <row r="81" spans="1:44">
      <c r="E81">
        <v>1</v>
      </c>
    </row>
    <row r="82" spans="1:44">
      <c r="R82" s="954">
        <v>1.03</v>
      </c>
      <c r="S82" s="954">
        <v>1.03</v>
      </c>
      <c r="T82" s="954">
        <v>1.03</v>
      </c>
      <c r="U82" s="954">
        <v>1.03</v>
      </c>
      <c r="V82" s="954">
        <v>1.03</v>
      </c>
      <c r="W82" s="954">
        <v>1.03</v>
      </c>
      <c r="X82" s="954">
        <v>1.03</v>
      </c>
      <c r="Y82" s="954">
        <v>1.03</v>
      </c>
      <c r="Z82" s="954">
        <v>1.03</v>
      </c>
      <c r="AA82" s="954">
        <v>1.03</v>
      </c>
      <c r="AB82" s="954">
        <v>1.03</v>
      </c>
      <c r="AC82" s="954">
        <v>1.03</v>
      </c>
      <c r="AD82" s="954">
        <v>1.03</v>
      </c>
      <c r="AE82" s="954">
        <v>1.03</v>
      </c>
      <c r="AF82" s="954">
        <v>1.03</v>
      </c>
      <c r="AG82" s="954">
        <v>1.03</v>
      </c>
      <c r="AH82" s="954">
        <v>1.03</v>
      </c>
      <c r="AI82" s="954">
        <v>1.03</v>
      </c>
      <c r="AJ82" s="954">
        <v>1.03</v>
      </c>
      <c r="AK82" s="954">
        <v>1.03</v>
      </c>
      <c r="AL82" s="954">
        <v>1.03</v>
      </c>
      <c r="AM82" s="954">
        <v>1.03</v>
      </c>
      <c r="AN82" s="954">
        <v>1.03</v>
      </c>
      <c r="AO82" s="954">
        <v>1.03</v>
      </c>
      <c r="AP82" s="954">
        <v>1.03</v>
      </c>
      <c r="AQ82" s="954">
        <v>1.03</v>
      </c>
      <c r="AR82" s="954">
        <v>1.03</v>
      </c>
    </row>
    <row r="83" spans="1:44" s="872" customFormat="1">
      <c r="A83" s="875" t="s">
        <v>365</v>
      </c>
      <c r="M83" s="872" t="s">
        <v>550</v>
      </c>
    </row>
    <row r="84" spans="1:44">
      <c r="A84" t="s">
        <v>366</v>
      </c>
      <c r="B84" t="s">
        <v>367</v>
      </c>
      <c r="C84" t="s">
        <v>368</v>
      </c>
      <c r="D84" t="s">
        <v>369</v>
      </c>
      <c r="E84" t="s">
        <v>370</v>
      </c>
      <c r="F84" t="s">
        <v>371</v>
      </c>
      <c r="G84" t="s">
        <v>372</v>
      </c>
      <c r="H84" t="s">
        <v>373</v>
      </c>
      <c r="I84" t="s">
        <v>374</v>
      </c>
      <c r="M84">
        <v>2013</v>
      </c>
      <c r="N84" t="s">
        <v>552</v>
      </c>
      <c r="O84" t="s">
        <v>553</v>
      </c>
      <c r="P84" t="s">
        <v>554</v>
      </c>
      <c r="Q84">
        <v>2013</v>
      </c>
      <c r="R84">
        <v>2014</v>
      </c>
      <c r="S84">
        <v>2015</v>
      </c>
      <c r="T84">
        <v>2016</v>
      </c>
      <c r="U84">
        <f>T84+1</f>
        <v>2017</v>
      </c>
      <c r="V84">
        <f>U84+1</f>
        <v>2018</v>
      </c>
      <c r="W84">
        <f t="shared" ref="W84:AM84" si="6">V84+1</f>
        <v>2019</v>
      </c>
      <c r="X84">
        <f t="shared" si="6"/>
        <v>2020</v>
      </c>
      <c r="Y84">
        <f t="shared" si="6"/>
        <v>2021</v>
      </c>
      <c r="Z84">
        <f t="shared" si="6"/>
        <v>2022</v>
      </c>
      <c r="AA84">
        <f t="shared" si="6"/>
        <v>2023</v>
      </c>
      <c r="AB84">
        <f t="shared" si="6"/>
        <v>2024</v>
      </c>
      <c r="AC84">
        <f t="shared" si="6"/>
        <v>2025</v>
      </c>
      <c r="AD84">
        <f t="shared" si="6"/>
        <v>2026</v>
      </c>
      <c r="AE84">
        <f t="shared" si="6"/>
        <v>2027</v>
      </c>
      <c r="AF84">
        <f t="shared" si="6"/>
        <v>2028</v>
      </c>
      <c r="AG84">
        <f t="shared" si="6"/>
        <v>2029</v>
      </c>
      <c r="AH84">
        <f t="shared" si="6"/>
        <v>2030</v>
      </c>
      <c r="AI84">
        <f t="shared" si="6"/>
        <v>2031</v>
      </c>
      <c r="AJ84">
        <f t="shared" si="6"/>
        <v>2032</v>
      </c>
      <c r="AK84">
        <f t="shared" si="6"/>
        <v>2033</v>
      </c>
      <c r="AL84">
        <f t="shared" si="6"/>
        <v>2034</v>
      </c>
      <c r="AM84">
        <f t="shared" si="6"/>
        <v>2035</v>
      </c>
    </row>
    <row r="85" spans="1:44">
      <c r="A85" t="s">
        <v>375</v>
      </c>
      <c r="B85">
        <v>84.578995353468514</v>
      </c>
      <c r="C85">
        <v>72.962894512882855</v>
      </c>
      <c r="D85">
        <v>71.454787626329392</v>
      </c>
      <c r="E85">
        <v>71.06058356378766</v>
      </c>
      <c r="F85">
        <v>87.379700415690081</v>
      </c>
      <c r="G85">
        <v>90.051148630620332</v>
      </c>
      <c r="H85">
        <v>91.94635512840766</v>
      </c>
      <c r="I85">
        <v>76.787113505724776</v>
      </c>
      <c r="L85" t="s">
        <v>551</v>
      </c>
      <c r="M85">
        <v>0.14000000000000001</v>
      </c>
    </row>
    <row r="86" spans="1:44">
      <c r="K86">
        <v>1000</v>
      </c>
      <c r="L86" t="s">
        <v>376</v>
      </c>
      <c r="M86">
        <f>M85*K86</f>
        <v>140</v>
      </c>
      <c r="N86">
        <v>4.47</v>
      </c>
    </row>
    <row r="87" spans="1:44">
      <c r="A87" t="s">
        <v>340</v>
      </c>
      <c r="B87" s="863">
        <f>B85/$B$90</f>
        <v>23494.165375963476</v>
      </c>
      <c r="C87" s="863">
        <f>C85/$B$90</f>
        <v>20267.470698023015</v>
      </c>
      <c r="D87" s="863">
        <f t="shared" ref="D87:I87" si="7">D85/$B$90</f>
        <v>19848.552118424832</v>
      </c>
      <c r="E87" s="863">
        <f t="shared" si="7"/>
        <v>19739.050989941017</v>
      </c>
      <c r="F87" s="863">
        <f t="shared" si="7"/>
        <v>24272.139004358356</v>
      </c>
      <c r="G87" s="863">
        <f t="shared" si="7"/>
        <v>25014.207952950092</v>
      </c>
      <c r="H87" s="863">
        <f t="shared" si="7"/>
        <v>25540.654202335463</v>
      </c>
      <c r="I87" s="863">
        <f t="shared" si="7"/>
        <v>21329.753751590215</v>
      </c>
      <c r="L87" t="s">
        <v>21</v>
      </c>
      <c r="M87" s="863">
        <f>M86/$B$90</f>
        <v>38888.888888888891</v>
      </c>
      <c r="N87" s="863">
        <f>N86/$B$90</f>
        <v>1241.6666666666667</v>
      </c>
      <c r="O87">
        <f>M87*0.8</f>
        <v>31111.111111111113</v>
      </c>
      <c r="P87" s="863">
        <f>O87-N87</f>
        <v>29869.444444444445</v>
      </c>
      <c r="Q87" s="863">
        <f>P87</f>
        <v>29869.444444444445</v>
      </c>
      <c r="R87">
        <f>(Q87*R82)</f>
        <v>30765.527777777781</v>
      </c>
      <c r="S87">
        <f t="shared" ref="S87:AM87" si="8">(R87*S82)</f>
        <v>31688.493611111116</v>
      </c>
      <c r="T87">
        <f t="shared" si="8"/>
        <v>32639.148419444449</v>
      </c>
      <c r="U87">
        <f t="shared" si="8"/>
        <v>33618.322872027784</v>
      </c>
      <c r="V87">
        <f t="shared" si="8"/>
        <v>34626.872558188617</v>
      </c>
      <c r="W87">
        <f t="shared" si="8"/>
        <v>35665.678734934278</v>
      </c>
      <c r="X87">
        <f t="shared" si="8"/>
        <v>36735.649096982306</v>
      </c>
      <c r="Y87">
        <f t="shared" si="8"/>
        <v>37837.718569891775</v>
      </c>
      <c r="Z87">
        <f t="shared" si="8"/>
        <v>38972.850126988531</v>
      </c>
      <c r="AA87">
        <f t="shared" si="8"/>
        <v>40142.035630798186</v>
      </c>
      <c r="AB87">
        <f t="shared" si="8"/>
        <v>41346.29669972213</v>
      </c>
      <c r="AC87">
        <f t="shared" si="8"/>
        <v>42586.685600713798</v>
      </c>
      <c r="AD87">
        <f t="shared" si="8"/>
        <v>43864.286168735212</v>
      </c>
      <c r="AE87">
        <f t="shared" si="8"/>
        <v>45180.214753797271</v>
      </c>
      <c r="AF87">
        <f t="shared" si="8"/>
        <v>46535.621196411186</v>
      </c>
      <c r="AG87">
        <f t="shared" si="8"/>
        <v>47931.68983230352</v>
      </c>
      <c r="AH87">
        <f t="shared" si="8"/>
        <v>49369.640527272626</v>
      </c>
      <c r="AI87">
        <f t="shared" si="8"/>
        <v>50850.729743090807</v>
      </c>
      <c r="AJ87">
        <f t="shared" si="8"/>
        <v>52376.251635383531</v>
      </c>
      <c r="AK87">
        <f t="shared" si="8"/>
        <v>53947.539184445035</v>
      </c>
      <c r="AL87">
        <f t="shared" si="8"/>
        <v>55565.965359978385</v>
      </c>
      <c r="AM87">
        <f t="shared" si="8"/>
        <v>57232.944320777737</v>
      </c>
    </row>
    <row r="89" spans="1:44">
      <c r="A89" s="854" t="s">
        <v>376</v>
      </c>
      <c r="B89">
        <v>1</v>
      </c>
      <c r="C89">
        <f>B85</f>
        <v>84.578995353468514</v>
      </c>
    </row>
    <row r="90" spans="1:44">
      <c r="A90" s="854" t="s">
        <v>21</v>
      </c>
      <c r="B90">
        <v>3.5999999999999999E-3</v>
      </c>
    </row>
    <row r="91" spans="1:44" s="872" customFormat="1">
      <c r="A91" s="852" t="s">
        <v>377</v>
      </c>
      <c r="D91" s="852" t="s">
        <v>378</v>
      </c>
    </row>
    <row r="92" spans="1:44">
      <c r="A92" s="854" t="s">
        <v>379</v>
      </c>
      <c r="B92" s="854" t="s">
        <v>380</v>
      </c>
      <c r="D92" s="854" t="s">
        <v>379</v>
      </c>
    </row>
    <row r="93" spans="1:44">
      <c r="A93">
        <v>1</v>
      </c>
      <c r="B93">
        <v>1125</v>
      </c>
      <c r="D93">
        <v>1</v>
      </c>
      <c r="E93">
        <f>B95*B93</f>
        <v>450</v>
      </c>
    </row>
    <row r="94" spans="1:44">
      <c r="D94">
        <v>100000</v>
      </c>
      <c r="E94" s="54">
        <f>D94*E93</f>
        <v>45000000</v>
      </c>
    </row>
    <row r="95" spans="1:44">
      <c r="A95" s="854" t="s">
        <v>381</v>
      </c>
      <c r="B95">
        <v>0.4</v>
      </c>
    </row>
    <row r="96" spans="1:44">
      <c r="D96" s="854" t="s">
        <v>382</v>
      </c>
    </row>
    <row r="98" spans="1:4">
      <c r="A98">
        <v>100</v>
      </c>
      <c r="B98" s="854" t="s">
        <v>86</v>
      </c>
      <c r="D98" s="854" t="s">
        <v>383</v>
      </c>
    </row>
    <row r="99" spans="1:4">
      <c r="A99">
        <v>4186</v>
      </c>
      <c r="B99" s="854" t="s">
        <v>21</v>
      </c>
      <c r="D99">
        <v>78</v>
      </c>
    </row>
    <row r="100" spans="1:4">
      <c r="A100" s="54">
        <f>A99*D99</f>
        <v>326508</v>
      </c>
      <c r="B100" s="854" t="s">
        <v>384</v>
      </c>
    </row>
    <row r="101" spans="1:4">
      <c r="A101">
        <v>20</v>
      </c>
      <c r="B101" s="854" t="s">
        <v>385</v>
      </c>
    </row>
    <row r="102" spans="1:4">
      <c r="A102" s="54">
        <f>A100*A101</f>
        <v>6530160</v>
      </c>
    </row>
    <row r="104" spans="1:4">
      <c r="A104" t="s">
        <v>386</v>
      </c>
    </row>
    <row r="105" spans="1:4" ht="14.25">
      <c r="A105" s="903" t="s">
        <v>387</v>
      </c>
    </row>
    <row r="107" spans="1:4">
      <c r="A107" s="854" t="s">
        <v>388</v>
      </c>
      <c r="B107">
        <v>1</v>
      </c>
    </row>
    <row r="108" spans="1:4">
      <c r="A108" s="854" t="s">
        <v>364</v>
      </c>
      <c r="B108">
        <v>53.6</v>
      </c>
      <c r="C108">
        <v>1</v>
      </c>
    </row>
    <row r="109" spans="1:4">
      <c r="A109" s="854" t="s">
        <v>363</v>
      </c>
      <c r="B109">
        <v>0.79900000000000004</v>
      </c>
      <c r="C109">
        <f>B109/B108</f>
        <v>1.4906716417910448E-2</v>
      </c>
    </row>
    <row r="110" spans="1:4">
      <c r="A110" s="854" t="s">
        <v>21</v>
      </c>
      <c r="C110">
        <f>C109*1000000</f>
        <v>14906.716417910447</v>
      </c>
    </row>
  </sheetData>
  <mergeCells count="3">
    <mergeCell ref="G2:K2"/>
    <mergeCell ref="H19:K19"/>
    <mergeCell ref="M19:N19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2:AE160"/>
  <sheetViews>
    <sheetView topLeftCell="A82" zoomScale="115" zoomScaleNormal="115" zoomScalePageLayoutView="115" workbookViewId="0">
      <selection activeCell="U100" sqref="U100"/>
    </sheetView>
  </sheetViews>
  <sheetFormatPr defaultColWidth="10.140625" defaultRowHeight="12.75"/>
  <cols>
    <col min="1" max="3" width="10.140625" style="273"/>
    <col min="4" max="4" width="10.42578125" style="273" bestFit="1" customWidth="1"/>
    <col min="5" max="5" width="17" style="273" customWidth="1"/>
    <col min="6" max="7" width="10.42578125" style="273" bestFit="1" customWidth="1"/>
    <col min="8" max="8" width="12" style="273" bestFit="1" customWidth="1"/>
    <col min="9" max="10" width="10.42578125" style="273" bestFit="1" customWidth="1"/>
    <col min="11" max="15" width="10.140625" style="273"/>
    <col min="16" max="16" width="14.140625" style="273" bestFit="1" customWidth="1"/>
    <col min="17" max="26" width="10.140625" style="273"/>
    <col min="27" max="27" width="13.28515625" style="273" bestFit="1" customWidth="1"/>
    <col min="28" max="16384" width="10.140625" style="273"/>
  </cols>
  <sheetData>
    <row r="2" spans="1:31" ht="13.5" thickBot="1"/>
    <row r="3" spans="1:31" ht="25.5">
      <c r="A3" s="274"/>
      <c r="B3" s="275" t="s">
        <v>98</v>
      </c>
      <c r="C3" s="275"/>
      <c r="D3" s="275"/>
      <c r="E3" s="275"/>
      <c r="F3" s="275"/>
      <c r="G3" s="276" t="s">
        <v>99</v>
      </c>
      <c r="H3" s="277"/>
      <c r="I3" s="275"/>
      <c r="J3" s="278"/>
      <c r="L3" s="279" t="s">
        <v>100</v>
      </c>
      <c r="M3" s="279">
        <v>2020</v>
      </c>
      <c r="N3" s="1168" t="s">
        <v>101</v>
      </c>
      <c r="O3" s="1168"/>
      <c r="P3" s="1168"/>
      <c r="Q3" s="1168"/>
    </row>
    <row r="4" spans="1:31">
      <c r="A4" s="280"/>
      <c r="B4" s="281" t="s">
        <v>102</v>
      </c>
      <c r="C4" s="281" t="s">
        <v>103</v>
      </c>
      <c r="D4" s="281" t="s">
        <v>104</v>
      </c>
      <c r="E4" s="281" t="s">
        <v>105</v>
      </c>
      <c r="F4" s="281"/>
      <c r="G4" s="280" t="s">
        <v>102</v>
      </c>
      <c r="H4" s="281" t="s">
        <v>103</v>
      </c>
      <c r="I4" s="281" t="s">
        <v>104</v>
      </c>
      <c r="J4" s="282" t="s">
        <v>105</v>
      </c>
      <c r="N4" s="283" t="s">
        <v>102</v>
      </c>
      <c r="O4" s="283" t="s">
        <v>103</v>
      </c>
      <c r="P4" s="283" t="s">
        <v>104</v>
      </c>
      <c r="Q4" s="283" t="s">
        <v>105</v>
      </c>
      <c r="S4" s="273">
        <v>1000</v>
      </c>
    </row>
    <row r="5" spans="1:31">
      <c r="A5" s="280"/>
      <c r="B5" s="281"/>
      <c r="C5" s="281"/>
      <c r="D5" s="281"/>
      <c r="E5" s="281"/>
      <c r="F5" s="281"/>
      <c r="G5" s="280"/>
      <c r="H5" s="281"/>
      <c r="I5" s="281"/>
      <c r="J5" s="282"/>
      <c r="AA5" s="942" t="s">
        <v>434</v>
      </c>
      <c r="AB5" s="942" t="s">
        <v>439</v>
      </c>
      <c r="AC5" s="942" t="s">
        <v>125</v>
      </c>
      <c r="AD5" s="942" t="s">
        <v>436</v>
      </c>
      <c r="AE5" s="942" t="s">
        <v>166</v>
      </c>
    </row>
    <row r="6" spans="1:31">
      <c r="A6" s="280"/>
      <c r="B6" s="284">
        <v>12527</v>
      </c>
      <c r="C6" s="284">
        <v>15935.775102505178</v>
      </c>
      <c r="D6" s="284">
        <v>14342.197592254663</v>
      </c>
      <c r="E6" s="284">
        <v>15157.669999999998</v>
      </c>
      <c r="F6" s="281"/>
      <c r="G6" s="285">
        <v>6215</v>
      </c>
      <c r="H6" s="286">
        <v>8081.0223473792639</v>
      </c>
      <c r="I6" s="286">
        <v>6947.4731517759119</v>
      </c>
      <c r="J6" s="287">
        <v>7277.5521667247758</v>
      </c>
      <c r="AA6" s="943" t="s">
        <v>437</v>
      </c>
      <c r="AB6" s="944">
        <f>SUM(B8,B9)/SUM(B7:B9)</f>
        <v>0.19276242637883403</v>
      </c>
      <c r="AC6" s="944">
        <f>SUM(C8,C9)/SUM(C7:C9)</f>
        <v>0.1719493578372138</v>
      </c>
      <c r="AD6" s="944">
        <f>SUM(E8,E9)/SUM(E7:E9)</f>
        <v>0.18016194331983806</v>
      </c>
      <c r="AE6" s="944">
        <f>SUM(D8,D9)/SUM(D7:D9)</f>
        <v>0.19230769230769229</v>
      </c>
    </row>
    <row r="7" spans="1:31" ht="15.75" customHeight="1">
      <c r="A7" s="280" t="s">
        <v>25</v>
      </c>
      <c r="B7" s="288">
        <v>10011.142433904823</v>
      </c>
      <c r="C7" s="288">
        <v>13063.672518921241</v>
      </c>
      <c r="D7" s="288">
        <v>11445.073678619219</v>
      </c>
      <c r="E7" s="288">
        <v>12277.7127</v>
      </c>
      <c r="F7" s="281" t="s">
        <v>25</v>
      </c>
      <c r="G7" s="289">
        <v>6104.4</v>
      </c>
      <c r="H7" s="290">
        <v>7965.653974951977</v>
      </c>
      <c r="I7" s="290">
        <v>6812.5438563209636</v>
      </c>
      <c r="J7" s="291">
        <v>7138.2050581395351</v>
      </c>
      <c r="L7" s="292">
        <v>13000</v>
      </c>
      <c r="M7" s="292">
        <v>14000</v>
      </c>
      <c r="N7" s="292">
        <f>(G7/$L$7)*1000</f>
        <v>469.56923076923073</v>
      </c>
      <c r="O7" s="292">
        <f>(H7/$M$7)*1000</f>
        <v>568.97528392514118</v>
      </c>
      <c r="P7" s="292">
        <f>(I7/$M$7)*1000</f>
        <v>486.61027545149739</v>
      </c>
      <c r="Q7" s="292">
        <f>(J7/$M$7)*1000</f>
        <v>509.87178986710967</v>
      </c>
      <c r="T7" s="273" t="s">
        <v>106</v>
      </c>
    </row>
    <row r="8" spans="1:31">
      <c r="A8" s="280" t="s">
        <v>27</v>
      </c>
      <c r="B8" s="288">
        <v>2068.4302996314696</v>
      </c>
      <c r="C8" s="288">
        <v>2068.4302996314696</v>
      </c>
      <c r="D8" s="288">
        <v>1864.4856869931059</v>
      </c>
      <c r="E8" s="288">
        <v>1940.1817599999999</v>
      </c>
      <c r="F8" s="281" t="s">
        <v>27</v>
      </c>
      <c r="G8" s="289">
        <v>103.4</v>
      </c>
      <c r="H8" s="290">
        <v>103.42151498157348</v>
      </c>
      <c r="I8" s="290">
        <v>93.224284349655292</v>
      </c>
      <c r="J8" s="291">
        <v>97.009087999999991</v>
      </c>
      <c r="L8" s="292">
        <v>30000</v>
      </c>
      <c r="M8" s="292"/>
      <c r="N8" s="293">
        <v>3.3</v>
      </c>
      <c r="O8" s="293">
        <v>3.3</v>
      </c>
      <c r="P8" s="293">
        <f>(I8/$L$8)*1000</f>
        <v>3.1074761449885098</v>
      </c>
      <c r="Q8" s="293">
        <f>(J8/$L$8)*1000</f>
        <v>3.2336362666666663</v>
      </c>
      <c r="T8" s="273" t="s">
        <v>107</v>
      </c>
      <c r="U8" s="273" t="s">
        <v>108</v>
      </c>
      <c r="V8" s="273" t="s">
        <v>109</v>
      </c>
      <c r="W8" s="273" t="s">
        <v>110</v>
      </c>
    </row>
    <row r="9" spans="1:31">
      <c r="A9" s="280" t="s">
        <v>29</v>
      </c>
      <c r="B9" s="288">
        <v>322.15726646370774</v>
      </c>
      <c r="C9" s="288">
        <v>644.31453292741548</v>
      </c>
      <c r="D9" s="288">
        <v>860.53185553527965</v>
      </c>
      <c r="E9" s="288">
        <v>757.88350000000003</v>
      </c>
      <c r="F9" s="281" t="s">
        <v>29</v>
      </c>
      <c r="G9" s="289">
        <v>4.9000000000000004</v>
      </c>
      <c r="H9" s="290">
        <v>8.4444892913160619</v>
      </c>
      <c r="I9" s="290">
        <v>9.8684845818266016</v>
      </c>
      <c r="J9" s="291">
        <v>8.6913245412844038</v>
      </c>
      <c r="L9" s="294"/>
      <c r="M9" s="294"/>
      <c r="N9" s="293"/>
      <c r="O9" s="293"/>
      <c r="P9" s="293"/>
      <c r="Q9" s="293"/>
      <c r="T9" s="273">
        <v>2010</v>
      </c>
      <c r="U9" s="273" t="s">
        <v>111</v>
      </c>
      <c r="V9" s="295">
        <v>41309</v>
      </c>
      <c r="W9" s="273" t="s">
        <v>112</v>
      </c>
    </row>
    <row r="10" spans="1:31">
      <c r="A10" s="280" t="s">
        <v>31</v>
      </c>
      <c r="B10" s="288">
        <v>125.27</v>
      </c>
      <c r="C10" s="288">
        <v>159.35775102505178</v>
      </c>
      <c r="D10" s="288">
        <v>143.42197592254661</v>
      </c>
      <c r="E10" s="288">
        <v>151.57670000000002</v>
      </c>
      <c r="F10" s="281" t="s">
        <v>31</v>
      </c>
      <c r="G10" s="289">
        <v>2.8</v>
      </c>
      <c r="H10" s="290">
        <v>3.5023681543967426</v>
      </c>
      <c r="I10" s="290">
        <v>3.1521313389570684</v>
      </c>
      <c r="J10" s="291">
        <v>3.3313560439560441</v>
      </c>
      <c r="L10" s="294"/>
      <c r="M10" s="294"/>
      <c r="N10" s="293"/>
      <c r="O10" s="293"/>
      <c r="P10" s="293"/>
      <c r="Q10" s="293"/>
      <c r="T10" s="273">
        <v>2011</v>
      </c>
      <c r="U10" s="273" t="s">
        <v>113</v>
      </c>
      <c r="V10" s="295">
        <v>41309</v>
      </c>
      <c r="W10" s="273" t="s">
        <v>114</v>
      </c>
      <c r="AA10" s="942" t="s">
        <v>434</v>
      </c>
      <c r="AB10" s="942" t="s">
        <v>439</v>
      </c>
      <c r="AC10" s="942" t="s">
        <v>125</v>
      </c>
      <c r="AD10" s="942" t="s">
        <v>436</v>
      </c>
      <c r="AE10" s="942" t="s">
        <v>166</v>
      </c>
    </row>
    <row r="11" spans="1:31">
      <c r="A11" s="296" t="s">
        <v>115</v>
      </c>
      <c r="B11" s="297">
        <v>0</v>
      </c>
      <c r="C11" s="297">
        <v>0</v>
      </c>
      <c r="D11" s="297">
        <v>28.684395184509324</v>
      </c>
      <c r="E11" s="297">
        <v>15.6</v>
      </c>
      <c r="F11" s="298" t="s">
        <v>115</v>
      </c>
      <c r="G11" s="299">
        <v>0</v>
      </c>
      <c r="H11" s="300">
        <v>0</v>
      </c>
      <c r="I11" s="300">
        <v>28.684395184509324</v>
      </c>
      <c r="J11" s="301">
        <v>15.6</v>
      </c>
      <c r="L11" s="294"/>
      <c r="M11" s="294"/>
      <c r="N11" s="293"/>
      <c r="O11" s="293"/>
      <c r="P11" s="293"/>
      <c r="Q11" s="293"/>
      <c r="T11" s="273">
        <v>2012</v>
      </c>
      <c r="U11" s="273" t="s">
        <v>116</v>
      </c>
      <c r="V11" s="295">
        <v>41337</v>
      </c>
      <c r="W11" s="273" t="s">
        <v>117</v>
      </c>
      <c r="AA11" s="943" t="s">
        <v>442</v>
      </c>
      <c r="AB11" s="944">
        <f>B11/SUM(B7:B9,B11)</f>
        <v>0</v>
      </c>
      <c r="AC11" s="948">
        <f>C11/SUM(C7:C9,C11)</f>
        <v>0</v>
      </c>
      <c r="AD11" s="947">
        <f>E11/SUM(E7:E9,E11)</f>
        <v>1.040598138584987E-3</v>
      </c>
      <c r="AE11" s="947">
        <f>D11/SUM(D7:D9,D11)</f>
        <v>2.0202020202020202E-3</v>
      </c>
    </row>
    <row r="12" spans="1:31">
      <c r="A12" s="302" t="s">
        <v>118</v>
      </c>
      <c r="B12" s="288"/>
      <c r="C12" s="288"/>
      <c r="D12" s="288"/>
      <c r="E12" s="288"/>
      <c r="F12" s="281"/>
      <c r="G12" s="289"/>
      <c r="H12" s="290"/>
      <c r="I12" s="290"/>
      <c r="J12" s="291"/>
      <c r="L12" s="294"/>
      <c r="M12" s="294"/>
      <c r="N12" s="293"/>
      <c r="O12" s="293"/>
      <c r="P12" s="293"/>
      <c r="Q12" s="293"/>
      <c r="V12" s="295"/>
    </row>
    <row r="13" spans="1:31">
      <c r="A13" s="280" t="s">
        <v>25</v>
      </c>
      <c r="B13" s="288"/>
      <c r="C13" s="288"/>
      <c r="D13" s="288"/>
      <c r="E13" s="288"/>
      <c r="F13" s="281"/>
      <c r="G13" s="289">
        <v>100</v>
      </c>
      <c r="H13" s="303">
        <f t="shared" ref="H13:J15" si="0">H7/$G7</f>
        <v>1.3049036719336835</v>
      </c>
      <c r="I13" s="303">
        <f t="shared" si="0"/>
        <v>1.1160054806894968</v>
      </c>
      <c r="J13" s="304">
        <f t="shared" si="0"/>
        <v>1.1693540819965165</v>
      </c>
      <c r="L13" s="294"/>
      <c r="M13" s="294"/>
      <c r="N13" s="293"/>
      <c r="O13" s="293"/>
      <c r="P13" s="293"/>
      <c r="Q13" s="293"/>
      <c r="V13" s="295"/>
    </row>
    <row r="14" spans="1:31">
      <c r="A14" s="280" t="s">
        <v>27</v>
      </c>
      <c r="B14" s="288"/>
      <c r="C14" s="288"/>
      <c r="D14" s="288"/>
      <c r="E14" s="288"/>
      <c r="F14" s="281"/>
      <c r="G14" s="289"/>
      <c r="H14" s="303">
        <f t="shared" si="0"/>
        <v>1.0002080752569968</v>
      </c>
      <c r="I14" s="303">
        <f t="shared" si="0"/>
        <v>0.90158882349763336</v>
      </c>
      <c r="J14" s="304">
        <f t="shared" si="0"/>
        <v>0.93819234042553179</v>
      </c>
      <c r="L14" s="294"/>
      <c r="M14" s="294"/>
      <c r="N14" s="293"/>
      <c r="O14" s="293"/>
      <c r="P14" s="293"/>
      <c r="Q14" s="293"/>
      <c r="V14" s="295"/>
    </row>
    <row r="15" spans="1:31">
      <c r="A15" s="280" t="s">
        <v>29</v>
      </c>
      <c r="B15" s="288"/>
      <c r="C15" s="288"/>
      <c r="D15" s="288"/>
      <c r="E15" s="288"/>
      <c r="F15" s="281"/>
      <c r="G15" s="289"/>
      <c r="H15" s="303">
        <f t="shared" si="0"/>
        <v>1.7233651614930736</v>
      </c>
      <c r="I15" s="303">
        <f t="shared" si="0"/>
        <v>2.0139764452707349</v>
      </c>
      <c r="J15" s="304">
        <f t="shared" si="0"/>
        <v>1.7737397023029393</v>
      </c>
      <c r="L15" s="294"/>
      <c r="M15" s="294"/>
      <c r="N15" s="293"/>
      <c r="O15" s="293"/>
      <c r="P15" s="293"/>
      <c r="Q15" s="293"/>
      <c r="V15" s="295"/>
    </row>
    <row r="16" spans="1:31">
      <c r="A16" s="280" t="s">
        <v>31</v>
      </c>
      <c r="B16" s="281"/>
      <c r="C16" s="303"/>
      <c r="D16" s="303"/>
      <c r="E16" s="303"/>
      <c r="F16" s="281"/>
      <c r="G16" s="280"/>
      <c r="H16" s="303"/>
      <c r="I16" s="303"/>
      <c r="J16" s="304"/>
      <c r="L16" s="294"/>
      <c r="M16" s="294"/>
      <c r="N16" s="293"/>
      <c r="O16" s="293"/>
      <c r="P16" s="293"/>
      <c r="Q16" s="293"/>
      <c r="T16" s="273" t="s">
        <v>119</v>
      </c>
    </row>
    <row r="17" spans="1:17" ht="13.5" thickBot="1">
      <c r="A17" s="305" t="s">
        <v>115</v>
      </c>
      <c r="B17" s="306"/>
      <c r="C17" s="306"/>
      <c r="D17" s="306"/>
      <c r="E17" s="306"/>
      <c r="F17" s="306"/>
      <c r="G17" s="305"/>
      <c r="H17" s="306"/>
      <c r="I17" s="306"/>
      <c r="J17" s="307"/>
      <c r="L17" s="294"/>
      <c r="M17" s="294"/>
      <c r="N17" s="293"/>
      <c r="O17" s="293"/>
      <c r="P17" s="293"/>
      <c r="Q17" s="293"/>
    </row>
    <row r="18" spans="1:17" s="283" customFormat="1">
      <c r="A18" s="276"/>
      <c r="B18" s="277" t="s">
        <v>120</v>
      </c>
      <c r="C18" s="277"/>
      <c r="D18" s="277"/>
      <c r="E18" s="277"/>
      <c r="F18" s="277"/>
      <c r="G18" s="277" t="s">
        <v>99</v>
      </c>
      <c r="H18" s="277"/>
      <c r="I18" s="277"/>
      <c r="J18" s="308"/>
      <c r="L18" s="309"/>
      <c r="M18" s="309"/>
      <c r="N18" s="310"/>
      <c r="O18" s="310"/>
      <c r="P18" s="310"/>
      <c r="Q18" s="310"/>
    </row>
    <row r="19" spans="1:17">
      <c r="A19" s="280" t="s">
        <v>34</v>
      </c>
      <c r="B19" s="281" t="s">
        <v>102</v>
      </c>
      <c r="C19" s="281" t="s">
        <v>103</v>
      </c>
      <c r="D19" s="281" t="s">
        <v>104</v>
      </c>
      <c r="E19" s="281" t="s">
        <v>105</v>
      </c>
      <c r="F19" s="281" t="s">
        <v>34</v>
      </c>
      <c r="G19" s="281" t="s">
        <v>102</v>
      </c>
      <c r="H19" s="281" t="s">
        <v>103</v>
      </c>
      <c r="I19" s="281" t="s">
        <v>104</v>
      </c>
      <c r="J19" s="282" t="s">
        <v>105</v>
      </c>
      <c r="L19" s="294"/>
      <c r="M19" s="294"/>
      <c r="N19" s="293"/>
      <c r="O19" s="293"/>
      <c r="P19" s="293"/>
      <c r="Q19" s="293"/>
    </row>
    <row r="20" spans="1:17">
      <c r="A20" s="280" t="s">
        <v>121</v>
      </c>
      <c r="B20" s="284">
        <v>11638</v>
      </c>
      <c r="C20" s="284">
        <v>13829.156321372038</v>
      </c>
      <c r="D20" s="284">
        <v>13594.45625106733</v>
      </c>
      <c r="E20" s="284">
        <v>13594.45625106733</v>
      </c>
      <c r="F20" s="281" t="s">
        <v>121</v>
      </c>
      <c r="G20" s="284">
        <v>1106.6246698872785</v>
      </c>
      <c r="H20" s="286">
        <v>1582.9640654160271</v>
      </c>
      <c r="I20" s="286">
        <v>1192.0827637047041</v>
      </c>
      <c r="J20" s="287">
        <v>1410.3471221678951</v>
      </c>
      <c r="L20" s="294"/>
      <c r="M20" s="294"/>
      <c r="N20" s="293"/>
      <c r="O20" s="293"/>
      <c r="P20" s="293"/>
      <c r="Q20" s="293"/>
    </row>
    <row r="21" spans="1:17">
      <c r="A21" s="280" t="s">
        <v>35</v>
      </c>
      <c r="B21" s="288">
        <v>5000</v>
      </c>
      <c r="C21" s="288">
        <v>7191.1612871134603</v>
      </c>
      <c r="D21" s="288">
        <v>5845.6161879589527</v>
      </c>
      <c r="E21" s="288">
        <v>6389.3944380016446</v>
      </c>
      <c r="F21" s="281" t="s">
        <v>35</v>
      </c>
      <c r="G21" s="290">
        <v>1086.9565217391303</v>
      </c>
      <c r="H21" s="290">
        <v>1563.2959319811869</v>
      </c>
      <c r="I21" s="290">
        <v>1169.1232375917905</v>
      </c>
      <c r="J21" s="291">
        <v>1388.9987908699227</v>
      </c>
      <c r="L21" s="292">
        <v>30000</v>
      </c>
      <c r="M21" s="292"/>
      <c r="N21" s="293">
        <f>(G21/$L21)*1000</f>
        <v>36.231884057971008</v>
      </c>
      <c r="O21" s="293">
        <f>(H21/$L21)*1000</f>
        <v>52.109864399372896</v>
      </c>
      <c r="P21" s="293">
        <f>(I21/$L21)*1000</f>
        <v>38.97077458639302</v>
      </c>
      <c r="Q21" s="293">
        <f>(J21/$L21)*1000</f>
        <v>46.299959695664093</v>
      </c>
    </row>
    <row r="22" spans="1:17">
      <c r="A22" s="280" t="s">
        <v>36</v>
      </c>
      <c r="B22" s="288">
        <v>6638</v>
      </c>
      <c r="C22" s="288">
        <v>6637.995034258578</v>
      </c>
      <c r="D22" s="288">
        <v>7748.8400631083769</v>
      </c>
      <c r="E22" s="288">
        <v>7205.0618130656849</v>
      </c>
      <c r="F22" s="281" t="s">
        <v>36</v>
      </c>
      <c r="G22" s="290">
        <v>19.668148148148148</v>
      </c>
      <c r="H22" s="290">
        <v>19.668133434840232</v>
      </c>
      <c r="I22" s="290">
        <v>22.959526112913711</v>
      </c>
      <c r="J22" s="291">
        <v>21.3483312979724</v>
      </c>
      <c r="L22" s="294"/>
      <c r="M22" s="294"/>
      <c r="N22" s="293"/>
      <c r="O22" s="293"/>
      <c r="P22" s="293"/>
      <c r="Q22" s="293"/>
    </row>
    <row r="23" spans="1:17">
      <c r="A23" s="280" t="s">
        <v>37</v>
      </c>
      <c r="B23" s="288">
        <v>0</v>
      </c>
      <c r="C23" s="288">
        <v>0</v>
      </c>
      <c r="D23" s="288">
        <v>0</v>
      </c>
      <c r="E23" s="288">
        <v>0</v>
      </c>
      <c r="F23" s="281" t="s">
        <v>37</v>
      </c>
      <c r="G23" s="290">
        <v>0</v>
      </c>
      <c r="H23" s="290">
        <v>0</v>
      </c>
      <c r="I23" s="290">
        <v>0</v>
      </c>
      <c r="J23" s="291">
        <v>0</v>
      </c>
      <c r="L23" s="294"/>
      <c r="M23" s="294"/>
      <c r="N23" s="293"/>
      <c r="O23" s="293"/>
      <c r="P23" s="293"/>
      <c r="Q23" s="293"/>
    </row>
    <row r="24" spans="1:17">
      <c r="A24" s="280" t="s">
        <v>38</v>
      </c>
      <c r="B24" s="288">
        <v>0</v>
      </c>
      <c r="C24" s="288">
        <v>0</v>
      </c>
      <c r="D24" s="288">
        <v>0</v>
      </c>
      <c r="E24" s="288">
        <v>0</v>
      </c>
      <c r="F24" s="281" t="s">
        <v>38</v>
      </c>
      <c r="G24" s="290">
        <v>0</v>
      </c>
      <c r="H24" s="290">
        <v>0</v>
      </c>
      <c r="I24" s="290">
        <v>0</v>
      </c>
      <c r="J24" s="291">
        <v>0</v>
      </c>
      <c r="L24" s="294"/>
      <c r="M24" s="294"/>
      <c r="N24" s="293"/>
      <c r="O24" s="293"/>
      <c r="P24" s="293"/>
      <c r="Q24" s="293"/>
    </row>
    <row r="25" spans="1:17">
      <c r="A25" s="302" t="s">
        <v>118</v>
      </c>
      <c r="B25" s="288"/>
      <c r="C25" s="288"/>
      <c r="D25" s="288"/>
      <c r="E25" s="288"/>
      <c r="F25" s="281"/>
      <c r="G25" s="290"/>
      <c r="H25" s="290"/>
      <c r="I25" s="290"/>
      <c r="J25" s="291"/>
      <c r="L25" s="294"/>
      <c r="M25" s="294"/>
      <c r="N25" s="293"/>
      <c r="O25" s="293"/>
      <c r="P25" s="293"/>
      <c r="Q25" s="293"/>
    </row>
    <row r="26" spans="1:17">
      <c r="A26" s="280" t="s">
        <v>35</v>
      </c>
      <c r="B26" s="288"/>
      <c r="C26" s="288"/>
      <c r="D26" s="288"/>
      <c r="E26" s="288"/>
      <c r="F26" s="281"/>
      <c r="G26" s="290"/>
      <c r="H26" s="303">
        <f t="shared" ref="H26:J27" si="1">H21/$G21</f>
        <v>1.4382322574226922</v>
      </c>
      <c r="I26" s="303">
        <f t="shared" si="1"/>
        <v>1.0755933785844474</v>
      </c>
      <c r="J26" s="304">
        <f t="shared" si="1"/>
        <v>1.2778788876003291</v>
      </c>
      <c r="L26" s="294"/>
      <c r="M26" s="294"/>
      <c r="N26" s="293"/>
      <c r="O26" s="293"/>
      <c r="P26" s="293"/>
      <c r="Q26" s="293"/>
    </row>
    <row r="27" spans="1:17">
      <c r="A27" s="280" t="s">
        <v>36</v>
      </c>
      <c r="B27" s="288"/>
      <c r="C27" s="288"/>
      <c r="D27" s="288"/>
      <c r="E27" s="288"/>
      <c r="F27" s="281"/>
      <c r="G27" s="290"/>
      <c r="H27" s="303">
        <f t="shared" si="1"/>
        <v>0.99999925192205152</v>
      </c>
      <c r="I27" s="303">
        <f t="shared" si="1"/>
        <v>1.1673455955270229</v>
      </c>
      <c r="J27" s="304">
        <f t="shared" si="1"/>
        <v>1.0854266063672318</v>
      </c>
      <c r="L27" s="294"/>
      <c r="M27" s="294"/>
      <c r="N27" s="293"/>
      <c r="O27" s="293"/>
      <c r="P27" s="293"/>
      <c r="Q27" s="293"/>
    </row>
    <row r="28" spans="1:17">
      <c r="A28" s="280" t="s">
        <v>37</v>
      </c>
      <c r="B28" s="288"/>
      <c r="C28" s="288"/>
      <c r="D28" s="288"/>
      <c r="E28" s="288"/>
      <c r="F28" s="281"/>
      <c r="G28" s="290"/>
      <c r="H28" s="290"/>
      <c r="I28" s="290"/>
      <c r="J28" s="291"/>
      <c r="L28" s="294"/>
      <c r="M28" s="294"/>
      <c r="N28" s="293"/>
      <c r="O28" s="293"/>
      <c r="P28" s="293"/>
      <c r="Q28" s="293"/>
    </row>
    <row r="29" spans="1:17" ht="13.5" thickBot="1">
      <c r="A29" s="305" t="s">
        <v>38</v>
      </c>
      <c r="B29" s="311"/>
      <c r="C29" s="311"/>
      <c r="D29" s="311"/>
      <c r="E29" s="311"/>
      <c r="F29" s="306"/>
      <c r="G29" s="312"/>
      <c r="H29" s="312"/>
      <c r="I29" s="312"/>
      <c r="J29" s="313"/>
      <c r="L29" s="294"/>
      <c r="M29" s="294"/>
      <c r="N29" s="293"/>
      <c r="O29" s="293"/>
      <c r="P29" s="293"/>
      <c r="Q29" s="293"/>
    </row>
    <row r="30" spans="1:17" ht="13.5" thickBot="1">
      <c r="L30" s="294"/>
      <c r="M30" s="294"/>
      <c r="N30" s="293"/>
      <c r="O30" s="293"/>
      <c r="P30" s="293"/>
      <c r="Q30" s="293"/>
    </row>
    <row r="31" spans="1:17">
      <c r="A31" s="274"/>
      <c r="B31" s="277" t="s">
        <v>98</v>
      </c>
      <c r="C31" s="277"/>
      <c r="D31" s="277"/>
      <c r="E31" s="277"/>
      <c r="F31" s="277"/>
      <c r="G31" s="277" t="s">
        <v>99</v>
      </c>
      <c r="H31" s="277"/>
      <c r="I31" s="277"/>
      <c r="J31" s="308"/>
      <c r="K31" s="277"/>
      <c r="L31" s="314"/>
      <c r="M31" s="314"/>
      <c r="N31" s="315"/>
      <c r="O31" s="315"/>
      <c r="P31" s="315"/>
      <c r="Q31" s="316"/>
    </row>
    <row r="32" spans="1:17">
      <c r="A32" s="280"/>
      <c r="B32" s="317" t="s">
        <v>102</v>
      </c>
      <c r="C32" s="317" t="s">
        <v>122</v>
      </c>
      <c r="D32" s="317" t="s">
        <v>123</v>
      </c>
      <c r="E32" s="317" t="s">
        <v>124</v>
      </c>
      <c r="F32" s="317"/>
      <c r="G32" s="317" t="s">
        <v>102</v>
      </c>
      <c r="H32" s="317" t="s">
        <v>122</v>
      </c>
      <c r="I32" s="317" t="s">
        <v>123</v>
      </c>
      <c r="J32" s="318" t="s">
        <v>124</v>
      </c>
      <c r="K32" s="317"/>
      <c r="L32" s="319"/>
      <c r="M32" s="319"/>
      <c r="N32" s="317" t="s">
        <v>102</v>
      </c>
      <c r="O32" s="317" t="s">
        <v>122</v>
      </c>
      <c r="P32" s="317" t="s">
        <v>123</v>
      </c>
      <c r="Q32" s="317" t="s">
        <v>124</v>
      </c>
    </row>
    <row r="33" spans="1:31">
      <c r="A33" s="280"/>
      <c r="B33" s="281"/>
      <c r="C33" s="281"/>
      <c r="D33" s="281"/>
      <c r="E33" s="281"/>
      <c r="F33" s="281"/>
      <c r="G33" s="281"/>
      <c r="H33" s="281"/>
      <c r="I33" s="281"/>
      <c r="J33" s="282"/>
      <c r="K33" s="281"/>
      <c r="L33" s="319"/>
      <c r="M33" s="319"/>
      <c r="N33" s="290"/>
      <c r="O33" s="290"/>
      <c r="P33" s="290"/>
      <c r="Q33" s="291"/>
      <c r="AA33" s="942" t="s">
        <v>434</v>
      </c>
      <c r="AB33" s="942" t="s">
        <v>439</v>
      </c>
      <c r="AC33" s="942" t="s">
        <v>125</v>
      </c>
      <c r="AD33" s="942" t="s">
        <v>436</v>
      </c>
      <c r="AE33" s="942" t="s">
        <v>166</v>
      </c>
    </row>
    <row r="34" spans="1:31">
      <c r="A34" s="280"/>
      <c r="B34" s="284">
        <v>12527</v>
      </c>
      <c r="C34" s="284">
        <v>17876.837147186307</v>
      </c>
      <c r="D34" s="284">
        <v>15195.311575108361</v>
      </c>
      <c r="E34" s="284">
        <v>16982.995289826995</v>
      </c>
      <c r="F34" s="281"/>
      <c r="G34" s="284">
        <v>5931.5323015004442</v>
      </c>
      <c r="H34" s="286">
        <v>9275.0285563463021</v>
      </c>
      <c r="I34" s="286">
        <v>6735.0527565018092</v>
      </c>
      <c r="J34" s="287">
        <v>8313.6128725644885</v>
      </c>
      <c r="K34" s="281"/>
      <c r="L34" s="319"/>
      <c r="M34" s="319"/>
      <c r="N34" s="290"/>
      <c r="O34" s="290"/>
      <c r="P34" s="290"/>
      <c r="Q34" s="291"/>
      <c r="AA34" s="943" t="s">
        <v>437</v>
      </c>
      <c r="AB34" s="944">
        <f>SUM(B36,B37)/SUM(B35:B37)</f>
        <v>0.19276242637883403</v>
      </c>
      <c r="AC34" s="944">
        <f>SUM(C36,C37)/SUM(C35:C37)</f>
        <v>0.15166835187057634</v>
      </c>
      <c r="AD34" s="944">
        <f>SUM(E36,E37)/SUM(E35:E37)</f>
        <v>0.16186140617096612</v>
      </c>
      <c r="AE34" s="944">
        <f>SUM(D36,D37)/SUM(D35:D37)</f>
        <v>0.23469387755102042</v>
      </c>
    </row>
    <row r="35" spans="1:31">
      <c r="A35" s="280" t="s">
        <v>25</v>
      </c>
      <c r="B35" s="288">
        <v>10011.142433904823</v>
      </c>
      <c r="C35" s="288">
        <v>14998.666366489313</v>
      </c>
      <c r="D35" s="288">
        <v>11396.483681331272</v>
      </c>
      <c r="E35" s="288">
        <v>14070.411597621665</v>
      </c>
      <c r="F35" s="281" t="s">
        <v>25</v>
      </c>
      <c r="G35" s="290">
        <v>5820.4316476190834</v>
      </c>
      <c r="H35" s="290">
        <v>9145.5282722495813</v>
      </c>
      <c r="I35" s="290">
        <v>6475.2748189382228</v>
      </c>
      <c r="J35" s="291">
        <v>8180.4718590823641</v>
      </c>
      <c r="K35" s="281"/>
      <c r="L35" s="320">
        <v>13500</v>
      </c>
      <c r="M35" s="320"/>
      <c r="N35" s="290">
        <f>N7</f>
        <v>469.56923076923073</v>
      </c>
      <c r="O35" s="290">
        <f>(H35/$L35)*1000</f>
        <v>677.44653868515411</v>
      </c>
      <c r="P35" s="290">
        <f t="shared" ref="O35:Q36" si="2">(I35/$L35)*1000</f>
        <v>479.64998658801647</v>
      </c>
      <c r="Q35" s="290">
        <f t="shared" si="2"/>
        <v>605.96087845054547</v>
      </c>
      <c r="AA35" s="942" t="s">
        <v>434</v>
      </c>
      <c r="AB35" s="942" t="s">
        <v>439</v>
      </c>
      <c r="AC35" s="942" t="s">
        <v>125</v>
      </c>
      <c r="AD35" s="942" t="s">
        <v>436</v>
      </c>
      <c r="AE35" s="942" t="s">
        <v>166</v>
      </c>
    </row>
    <row r="36" spans="1:31">
      <c r="A36" s="280" t="s">
        <v>27</v>
      </c>
      <c r="B36" s="288">
        <v>2068.4302996314696</v>
      </c>
      <c r="C36" s="288">
        <v>1966.4520861904941</v>
      </c>
      <c r="D36" s="288">
        <v>1671.48427326192</v>
      </c>
      <c r="E36" s="288">
        <v>1868.1294818809695</v>
      </c>
      <c r="F36" s="281" t="s">
        <v>27</v>
      </c>
      <c r="G36" s="290">
        <v>103.42151498157348</v>
      </c>
      <c r="H36" s="290">
        <v>98.322604309524706</v>
      </c>
      <c r="I36" s="290">
        <v>83.574213663096003</v>
      </c>
      <c r="J36" s="291">
        <v>93.406474094048477</v>
      </c>
      <c r="K36" s="281"/>
      <c r="L36" s="320">
        <v>30000</v>
      </c>
      <c r="M36" s="320"/>
      <c r="N36" s="290"/>
      <c r="O36" s="290">
        <f t="shared" si="2"/>
        <v>3.2774201436508235</v>
      </c>
      <c r="P36" s="290">
        <f t="shared" si="2"/>
        <v>2.7858071221031997</v>
      </c>
      <c r="Q36" s="290">
        <f t="shared" si="2"/>
        <v>3.1135491364682828</v>
      </c>
      <c r="AA36" s="943" t="s">
        <v>442</v>
      </c>
      <c r="AB36" s="944">
        <f>B39/SUM(B35:B37,B39)</f>
        <v>0</v>
      </c>
      <c r="AC36" s="948">
        <f>C39/SUM(C35:C37,C39)</f>
        <v>0</v>
      </c>
      <c r="AD36" s="946">
        <f>E39/SUM(E35:E37,E39)</f>
        <v>3.028739019707738E-3</v>
      </c>
      <c r="AE36" s="946">
        <f>D39/SUM(D35:D37,D39)</f>
        <v>1.0101010101010102E-2</v>
      </c>
    </row>
    <row r="37" spans="1:31">
      <c r="A37" s="280" t="s">
        <v>29</v>
      </c>
      <c r="B37" s="288">
        <v>322.15726646370774</v>
      </c>
      <c r="C37" s="288">
        <v>715.07348588745242</v>
      </c>
      <c r="D37" s="288">
        <v>1823.4373890130034</v>
      </c>
      <c r="E37" s="288">
        <v>849.14976449134974</v>
      </c>
      <c r="F37" s="281" t="s">
        <v>29</v>
      </c>
      <c r="G37" s="290">
        <v>4.9259520866010362</v>
      </c>
      <c r="H37" s="290">
        <v>9.3718674428237545</v>
      </c>
      <c r="I37" s="290">
        <v>20.910979231800496</v>
      </c>
      <c r="J37" s="291">
        <v>10.527520016009792</v>
      </c>
      <c r="K37" s="281"/>
      <c r="L37" s="319"/>
      <c r="M37" s="319"/>
      <c r="N37" s="290"/>
      <c r="O37" s="290"/>
      <c r="P37" s="290"/>
      <c r="Q37" s="291"/>
      <c r="AA37" s="942" t="s">
        <v>434</v>
      </c>
      <c r="AB37" s="942" t="s">
        <v>439</v>
      </c>
      <c r="AC37" s="942" t="s">
        <v>125</v>
      </c>
      <c r="AD37" s="942" t="s">
        <v>436</v>
      </c>
      <c r="AE37" s="942" t="s">
        <v>166</v>
      </c>
    </row>
    <row r="38" spans="1:31">
      <c r="A38" s="280" t="s">
        <v>31</v>
      </c>
      <c r="B38" s="288">
        <v>125.27</v>
      </c>
      <c r="C38" s="288">
        <v>178.76837147186311</v>
      </c>
      <c r="D38" s="288">
        <v>151.95311575108363</v>
      </c>
      <c r="E38" s="288">
        <v>169.82995289826997</v>
      </c>
      <c r="F38" s="281" t="s">
        <v>31</v>
      </c>
      <c r="G38" s="290">
        <v>2.7531868131868129</v>
      </c>
      <c r="H38" s="290">
        <v>3.9289751971838047</v>
      </c>
      <c r="I38" s="290">
        <v>3.3396289176062335</v>
      </c>
      <c r="J38" s="291">
        <v>3.7325264373246148</v>
      </c>
      <c r="K38" s="281"/>
      <c r="L38" s="319"/>
      <c r="M38" s="319"/>
      <c r="N38" s="290"/>
      <c r="O38" s="290"/>
      <c r="P38" s="290"/>
      <c r="Q38" s="291"/>
      <c r="AA38" s="943" t="s">
        <v>435</v>
      </c>
      <c r="AC38" s="944">
        <f>SUM(C35:C37)/SUM($B35:$B37)-1</f>
        <v>0.42562303312257721</v>
      </c>
      <c r="AD38" s="944">
        <f>SUM(E35:E37)/SUM($B35:$B37)-1</f>
        <v>0.35365717879634406</v>
      </c>
      <c r="AE38" s="944">
        <f>SUM(D35:D37)/SUM($B35:$B37)-1</f>
        <v>0.20075226146724656</v>
      </c>
    </row>
    <row r="39" spans="1:31" ht="13.5" thickBot="1">
      <c r="A39" s="296" t="s">
        <v>115</v>
      </c>
      <c r="B39" s="297">
        <v>0</v>
      </c>
      <c r="C39" s="297">
        <v>0</v>
      </c>
      <c r="D39" s="297">
        <v>151.95311575108363</v>
      </c>
      <c r="E39" s="297">
        <v>51</v>
      </c>
      <c r="F39" s="298" t="s">
        <v>115</v>
      </c>
      <c r="G39" s="300">
        <v>0</v>
      </c>
      <c r="H39" s="300">
        <v>17.876837147186311</v>
      </c>
      <c r="I39" s="300">
        <v>151.95311575108363</v>
      </c>
      <c r="J39" s="301">
        <v>51</v>
      </c>
      <c r="K39" s="281"/>
      <c r="L39" s="319"/>
      <c r="M39" s="319"/>
      <c r="N39" s="290"/>
      <c r="O39" s="290"/>
      <c r="P39" s="290"/>
      <c r="Q39" s="291"/>
      <c r="AA39" s="942" t="s">
        <v>434</v>
      </c>
      <c r="AB39" s="942" t="s">
        <v>439</v>
      </c>
      <c r="AC39" s="942" t="s">
        <v>125</v>
      </c>
      <c r="AD39" s="942" t="s">
        <v>436</v>
      </c>
      <c r="AE39" s="942" t="s">
        <v>166</v>
      </c>
    </row>
    <row r="40" spans="1:31">
      <c r="A40" s="276" t="s">
        <v>118</v>
      </c>
      <c r="B40" s="321"/>
      <c r="C40" s="321"/>
      <c r="D40" s="321"/>
      <c r="E40" s="321"/>
      <c r="F40" s="275"/>
      <c r="G40" s="315"/>
      <c r="H40" s="315"/>
      <c r="I40" s="315"/>
      <c r="J40" s="316"/>
      <c r="L40" s="294"/>
      <c r="M40" s="294"/>
      <c r="N40" s="293"/>
      <c r="O40" s="293"/>
      <c r="P40" s="293"/>
      <c r="Q40" s="293"/>
      <c r="AA40" s="943" t="s">
        <v>445</v>
      </c>
      <c r="AC40" s="944">
        <f>C49/$B49-1</f>
        <v>0.34552867660798392</v>
      </c>
      <c r="AD40" s="944">
        <f>E49/$B49-1</f>
        <v>0.27825224277758465</v>
      </c>
      <c r="AE40" s="944">
        <f>D49/$B49-1</f>
        <v>0.19554263528658566</v>
      </c>
    </row>
    <row r="41" spans="1:31">
      <c r="A41" s="280" t="s">
        <v>25</v>
      </c>
      <c r="B41" s="288"/>
      <c r="C41" s="288"/>
      <c r="D41" s="288"/>
      <c r="E41" s="288"/>
      <c r="F41" s="281"/>
      <c r="G41" s="290"/>
      <c r="H41" s="303">
        <f>H35/$G35</f>
        <v>1.5712800743894428</v>
      </c>
      <c r="I41" s="303">
        <f>I35/$G35</f>
        <v>1.1125076645452938</v>
      </c>
      <c r="J41" s="304">
        <f>J35/$G35</f>
        <v>1.4054751184010008</v>
      </c>
      <c r="L41" s="294"/>
      <c r="M41" s="294"/>
      <c r="N41" s="293"/>
      <c r="O41" s="293"/>
      <c r="P41" s="293"/>
      <c r="Q41" s="293"/>
      <c r="AA41" s="942" t="s">
        <v>434</v>
      </c>
      <c r="AB41" s="942" t="s">
        <v>439</v>
      </c>
      <c r="AC41" s="942" t="s">
        <v>125</v>
      </c>
      <c r="AD41" s="942" t="s">
        <v>436</v>
      </c>
      <c r="AE41" s="942" t="s">
        <v>166</v>
      </c>
    </row>
    <row r="42" spans="1:31">
      <c r="A42" s="280" t="s">
        <v>27</v>
      </c>
      <c r="B42" s="288"/>
      <c r="C42" s="288"/>
      <c r="D42" s="288"/>
      <c r="E42" s="288"/>
      <c r="F42" s="281"/>
      <c r="G42" s="290"/>
      <c r="H42" s="303">
        <f t="shared" ref="H42:J43" si="3">H36/$G36</f>
        <v>0.95069777625132212</v>
      </c>
      <c r="I42" s="303">
        <f t="shared" si="3"/>
        <v>0.80809310981362381</v>
      </c>
      <c r="J42" s="304">
        <f t="shared" si="3"/>
        <v>0.90316288743875606</v>
      </c>
      <c r="L42" s="294"/>
      <c r="M42" s="294"/>
      <c r="N42" s="293"/>
      <c r="O42" s="293"/>
      <c r="P42" s="293"/>
      <c r="Q42" s="293"/>
      <c r="AA42" s="943" t="s">
        <v>446</v>
      </c>
      <c r="AB42" s="944">
        <f>B51/B49</f>
        <v>0.57037291630864406</v>
      </c>
      <c r="AC42" s="944">
        <f>C51/C49</f>
        <v>0.43</v>
      </c>
      <c r="AD42" s="944">
        <f>E51/E49</f>
        <v>0.46999999999999992</v>
      </c>
      <c r="AE42" s="944">
        <f>D51/D49</f>
        <v>0.6</v>
      </c>
    </row>
    <row r="43" spans="1:31">
      <c r="A43" s="280" t="s">
        <v>29</v>
      </c>
      <c r="B43" s="288"/>
      <c r="C43" s="288"/>
      <c r="D43" s="288"/>
      <c r="E43" s="288"/>
      <c r="F43" s="281"/>
      <c r="G43" s="290"/>
      <c r="H43" s="303">
        <f t="shared" si="3"/>
        <v>1.9025494519761865</v>
      </c>
      <c r="I43" s="303">
        <f t="shared" si="3"/>
        <v>4.2450634647218655</v>
      </c>
      <c r="J43" s="304">
        <f t="shared" si="3"/>
        <v>2.1371543675070339</v>
      </c>
      <c r="L43" s="294"/>
      <c r="M43" s="294"/>
      <c r="N43" s="293"/>
      <c r="O43" s="293"/>
      <c r="P43" s="293"/>
      <c r="Q43" s="293"/>
    </row>
    <row r="44" spans="1:31">
      <c r="A44" s="280" t="s">
        <v>31</v>
      </c>
      <c r="B44" s="288"/>
      <c r="C44" s="288"/>
      <c r="D44" s="288"/>
      <c r="E44" s="288"/>
      <c r="F44" s="281"/>
      <c r="G44" s="290"/>
      <c r="H44" s="290"/>
      <c r="I44" s="290"/>
      <c r="J44" s="291"/>
      <c r="L44" s="294"/>
      <c r="M44" s="294"/>
      <c r="N44" s="293"/>
      <c r="O44" s="293"/>
      <c r="P44" s="293"/>
      <c r="Q44" s="293"/>
    </row>
    <row r="45" spans="1:31" ht="13.5" thickBot="1">
      <c r="A45" s="305" t="s">
        <v>115</v>
      </c>
      <c r="B45" s="311"/>
      <c r="C45" s="311"/>
      <c r="D45" s="311"/>
      <c r="E45" s="311"/>
      <c r="F45" s="306"/>
      <c r="G45" s="312"/>
      <c r="H45" s="312"/>
      <c r="I45" s="312"/>
      <c r="J45" s="313"/>
      <c r="L45" s="294"/>
      <c r="M45" s="294"/>
      <c r="N45" s="293"/>
      <c r="O45" s="293"/>
      <c r="P45" s="293"/>
      <c r="Q45" s="293"/>
    </row>
    <row r="46" spans="1:31">
      <c r="A46" s="280"/>
      <c r="B46" s="281"/>
      <c r="C46" s="303"/>
      <c r="D46" s="303"/>
      <c r="E46" s="303"/>
      <c r="F46" s="281"/>
      <c r="G46" s="281"/>
      <c r="H46" s="303"/>
      <c r="I46" s="303"/>
      <c r="J46" s="304"/>
      <c r="K46" s="281"/>
      <c r="L46" s="319"/>
      <c r="M46" s="319"/>
      <c r="N46" s="290"/>
      <c r="O46" s="290"/>
      <c r="P46" s="290"/>
      <c r="Q46" s="291"/>
    </row>
    <row r="47" spans="1:31">
      <c r="A47" s="280"/>
      <c r="B47" s="281" t="s">
        <v>120</v>
      </c>
      <c r="C47" s="281"/>
      <c r="D47" s="281"/>
      <c r="E47" s="281"/>
      <c r="F47" s="281"/>
      <c r="G47" s="317" t="s">
        <v>99</v>
      </c>
      <c r="H47" s="281"/>
      <c r="I47" s="281"/>
      <c r="J47" s="282"/>
      <c r="K47" s="281"/>
      <c r="L47" s="319"/>
      <c r="M47" s="319"/>
      <c r="N47" s="290"/>
      <c r="O47" s="290"/>
      <c r="P47" s="290"/>
      <c r="Q47" s="291"/>
    </row>
    <row r="48" spans="1:31">
      <c r="A48" s="280" t="s">
        <v>34</v>
      </c>
      <c r="B48" s="281" t="s">
        <v>102</v>
      </c>
      <c r="C48" s="281" t="s">
        <v>122</v>
      </c>
      <c r="D48" s="281" t="s">
        <v>123</v>
      </c>
      <c r="E48" s="281" t="s">
        <v>124</v>
      </c>
      <c r="F48" s="281" t="s">
        <v>34</v>
      </c>
      <c r="G48" s="281" t="s">
        <v>102</v>
      </c>
      <c r="H48" s="281" t="s">
        <v>122</v>
      </c>
      <c r="I48" s="281" t="s">
        <v>123</v>
      </c>
      <c r="J48" s="282" t="s">
        <v>124</v>
      </c>
      <c r="K48" s="281"/>
      <c r="L48" s="319"/>
      <c r="M48" s="319"/>
      <c r="N48" s="290"/>
      <c r="O48" s="290"/>
      <c r="P48" s="290"/>
      <c r="Q48" s="291"/>
    </row>
    <row r="49" spans="1:20">
      <c r="A49" s="280" t="s">
        <v>121</v>
      </c>
      <c r="B49" s="284">
        <v>11638</v>
      </c>
      <c r="C49" s="284">
        <v>15659.262738363717</v>
      </c>
      <c r="D49" s="284">
        <v>13913.725189465284</v>
      </c>
      <c r="E49" s="284">
        <v>14876.299601445531</v>
      </c>
      <c r="F49" s="281" t="s">
        <v>121</v>
      </c>
      <c r="G49" s="284">
        <v>1106.6246698872785</v>
      </c>
      <c r="H49" s="286">
        <v>1960.337965210437</v>
      </c>
      <c r="I49" s="286">
        <v>1137.8335266051608</v>
      </c>
      <c r="J49" s="287">
        <v>1597.6043823833877</v>
      </c>
      <c r="K49" s="281"/>
      <c r="L49" s="319"/>
      <c r="M49" s="319"/>
      <c r="N49" s="290"/>
      <c r="O49" s="290"/>
      <c r="P49" s="290"/>
      <c r="Q49" s="291"/>
    </row>
    <row r="50" spans="1:20">
      <c r="A50" s="280" t="s">
        <v>35</v>
      </c>
      <c r="B50" s="288">
        <v>5000</v>
      </c>
      <c r="C50" s="288">
        <v>8925.7797608673191</v>
      </c>
      <c r="D50" s="288">
        <v>5565.4900757861133</v>
      </c>
      <c r="E50" s="288">
        <v>7884.4387887661323</v>
      </c>
      <c r="F50" s="281" t="s">
        <v>35</v>
      </c>
      <c r="G50" s="290">
        <v>1086.9565217391303</v>
      </c>
      <c r="H50" s="290">
        <v>1940.3869045363735</v>
      </c>
      <c r="I50" s="290">
        <v>1113.0980151572226</v>
      </c>
      <c r="J50" s="291">
        <v>1576.8877577532264</v>
      </c>
      <c r="K50" s="281"/>
      <c r="L50" s="320">
        <v>50000</v>
      </c>
      <c r="M50" s="320"/>
      <c r="N50" s="290">
        <f>(G50/$L50)*1000</f>
        <v>21.739130434782606</v>
      </c>
      <c r="O50" s="290">
        <f>(H50/$L50)*1000</f>
        <v>38.807738090727469</v>
      </c>
      <c r="P50" s="290">
        <f>(I50/$L50)*1000</f>
        <v>22.261960303144452</v>
      </c>
      <c r="Q50" s="291">
        <f>(J50/$L50)*1000</f>
        <v>31.537755155064531</v>
      </c>
    </row>
    <row r="51" spans="1:20">
      <c r="A51" s="280" t="s">
        <v>36</v>
      </c>
      <c r="B51" s="288">
        <v>6638</v>
      </c>
      <c r="C51" s="288">
        <v>6733.4829774963982</v>
      </c>
      <c r="D51" s="288">
        <v>8348.2351136791694</v>
      </c>
      <c r="E51" s="288">
        <v>6991.8608126793988</v>
      </c>
      <c r="F51" s="281" t="s">
        <v>36</v>
      </c>
      <c r="G51" s="290">
        <v>19.668148148148148</v>
      </c>
      <c r="H51" s="290">
        <v>19.951060674063402</v>
      </c>
      <c r="I51" s="290">
        <v>24.735511447938279</v>
      </c>
      <c r="J51" s="291">
        <v>20.716624630161181</v>
      </c>
      <c r="K51" s="281"/>
      <c r="L51" s="281"/>
      <c r="M51" s="281"/>
      <c r="N51" s="290"/>
      <c r="O51" s="290"/>
      <c r="P51" s="290"/>
      <c r="Q51" s="291"/>
    </row>
    <row r="52" spans="1:20">
      <c r="A52" s="280" t="s">
        <v>37</v>
      </c>
      <c r="B52" s="288">
        <v>0</v>
      </c>
      <c r="C52" s="288">
        <v>0</v>
      </c>
      <c r="D52" s="288">
        <v>0</v>
      </c>
      <c r="E52" s="288">
        <v>0</v>
      </c>
      <c r="F52" s="281" t="s">
        <v>37</v>
      </c>
      <c r="G52" s="290">
        <v>0</v>
      </c>
      <c r="H52" s="290">
        <v>0</v>
      </c>
      <c r="I52" s="290">
        <v>0</v>
      </c>
      <c r="J52" s="291">
        <v>0</v>
      </c>
      <c r="K52" s="281"/>
      <c r="L52" s="281"/>
      <c r="M52" s="281"/>
      <c r="N52" s="290"/>
      <c r="O52" s="290"/>
      <c r="P52" s="290"/>
      <c r="Q52" s="291"/>
    </row>
    <row r="53" spans="1:20" ht="13.5" thickBot="1">
      <c r="A53" s="305" t="s">
        <v>38</v>
      </c>
      <c r="B53" s="311">
        <v>0</v>
      </c>
      <c r="C53" s="311">
        <v>0</v>
      </c>
      <c r="D53" s="311">
        <v>0</v>
      </c>
      <c r="E53" s="311">
        <v>0</v>
      </c>
      <c r="F53" s="306" t="s">
        <v>38</v>
      </c>
      <c r="G53" s="312">
        <v>0</v>
      </c>
      <c r="H53" s="312">
        <v>0</v>
      </c>
      <c r="I53" s="312">
        <v>0</v>
      </c>
      <c r="J53" s="313">
        <v>0</v>
      </c>
      <c r="K53" s="306"/>
      <c r="L53" s="306"/>
      <c r="M53" s="306"/>
      <c r="N53" s="312"/>
      <c r="O53" s="312"/>
      <c r="P53" s="312"/>
      <c r="Q53" s="313"/>
    </row>
    <row r="54" spans="1:20">
      <c r="A54" s="276" t="s">
        <v>118</v>
      </c>
      <c r="B54" s="322"/>
      <c r="C54" s="322"/>
      <c r="D54" s="322"/>
      <c r="E54" s="275"/>
      <c r="F54" s="322"/>
      <c r="G54" s="322"/>
      <c r="H54" s="322"/>
      <c r="I54" s="275"/>
      <c r="J54" s="278"/>
    </row>
    <row r="55" spans="1:20">
      <c r="A55" s="280" t="s">
        <v>35</v>
      </c>
      <c r="B55" s="281"/>
      <c r="C55" s="281"/>
      <c r="D55" s="281"/>
      <c r="E55" s="281"/>
      <c r="F55" s="281"/>
      <c r="G55" s="281"/>
      <c r="H55" s="303">
        <f t="shared" ref="H55:J56" si="4">H50/$G50</f>
        <v>1.7851559521734639</v>
      </c>
      <c r="I55" s="303">
        <f t="shared" si="4"/>
        <v>1.0240501739446448</v>
      </c>
      <c r="J55" s="304">
        <f t="shared" si="4"/>
        <v>1.4507367371329685</v>
      </c>
    </row>
    <row r="56" spans="1:20">
      <c r="A56" s="280" t="s">
        <v>36</v>
      </c>
      <c r="B56" s="281"/>
      <c r="C56" s="281"/>
      <c r="D56" s="281"/>
      <c r="E56" s="281"/>
      <c r="F56" s="281"/>
      <c r="G56" s="281"/>
      <c r="H56" s="303">
        <f t="shared" si="4"/>
        <v>1.0143842991106355</v>
      </c>
      <c r="I56" s="303">
        <f t="shared" si="4"/>
        <v>1.2576431325217188</v>
      </c>
      <c r="J56" s="304">
        <f t="shared" si="4"/>
        <v>1.0533083477974388</v>
      </c>
    </row>
    <row r="57" spans="1:20">
      <c r="A57" s="280" t="s">
        <v>37</v>
      </c>
      <c r="B57" s="281"/>
      <c r="C57" s="281"/>
      <c r="D57" s="281"/>
      <c r="E57" s="281"/>
      <c r="F57" s="281"/>
      <c r="G57" s="281"/>
      <c r="H57" s="303"/>
      <c r="I57" s="303"/>
      <c r="J57" s="304"/>
    </row>
    <row r="58" spans="1:20" ht="13.5" thickBot="1">
      <c r="A58" s="305" t="s">
        <v>38</v>
      </c>
      <c r="B58" s="306"/>
      <c r="C58" s="306"/>
      <c r="D58" s="306"/>
      <c r="E58" s="306"/>
      <c r="F58" s="306"/>
      <c r="G58" s="306"/>
      <c r="H58" s="306"/>
      <c r="I58" s="306"/>
      <c r="J58" s="307"/>
      <c r="L58" s="323">
        <v>2010</v>
      </c>
      <c r="M58" s="323">
        <v>2015</v>
      </c>
      <c r="N58" s="323">
        <v>2020</v>
      </c>
      <c r="O58" s="323">
        <v>2025</v>
      </c>
      <c r="P58" s="323">
        <v>2030</v>
      </c>
      <c r="Q58" s="323">
        <v>2035</v>
      </c>
      <c r="R58" s="273">
        <v>2040</v>
      </c>
      <c r="S58" s="273">
        <v>2045</v>
      </c>
      <c r="T58" s="273">
        <v>2050</v>
      </c>
    </row>
    <row r="59" spans="1:20" ht="13.5" thickBot="1">
      <c r="K59" s="273" t="s">
        <v>177</v>
      </c>
      <c r="L59" s="293">
        <v>10011.142433904823</v>
      </c>
      <c r="N59" s="288">
        <v>13063.672518921241</v>
      </c>
      <c r="O59" s="324"/>
      <c r="P59" s="288">
        <v>14998.666366489313</v>
      </c>
      <c r="Q59" s="324"/>
      <c r="T59" s="293">
        <v>16548.671243484812</v>
      </c>
    </row>
    <row r="60" spans="1:20">
      <c r="A60" s="276"/>
      <c r="B60" s="283" t="s">
        <v>98</v>
      </c>
      <c r="C60" s="283"/>
      <c r="D60" s="283"/>
      <c r="E60" s="283"/>
      <c r="F60" s="283"/>
      <c r="G60" s="283" t="s">
        <v>99</v>
      </c>
      <c r="H60" s="283"/>
      <c r="I60" s="283"/>
      <c r="J60" s="308"/>
      <c r="K60" s="273" t="s">
        <v>178</v>
      </c>
      <c r="L60" s="293">
        <v>2068.4302996314696</v>
      </c>
      <c r="N60" s="288">
        <v>2068.4302996314696</v>
      </c>
      <c r="O60" s="324"/>
      <c r="P60" s="288">
        <v>1966.4520861904941</v>
      </c>
      <c r="Q60" s="324"/>
      <c r="T60" s="293">
        <v>2068.4302996314696</v>
      </c>
    </row>
    <row r="61" spans="1:20">
      <c r="A61" s="302"/>
      <c r="B61" s="283" t="s">
        <v>102</v>
      </c>
      <c r="C61" s="283" t="s">
        <v>126</v>
      </c>
      <c r="D61" s="283" t="s">
        <v>129</v>
      </c>
      <c r="E61" s="283" t="s">
        <v>130</v>
      </c>
      <c r="F61" s="283"/>
      <c r="G61" s="283" t="s">
        <v>102</v>
      </c>
      <c r="H61" s="283" t="s">
        <v>126</v>
      </c>
      <c r="I61" s="283" t="s">
        <v>129</v>
      </c>
      <c r="J61" s="283" t="s">
        <v>127</v>
      </c>
      <c r="K61" s="273" t="s">
        <v>179</v>
      </c>
      <c r="L61" s="293">
        <v>322.15726646370774</v>
      </c>
      <c r="N61" s="288">
        <v>644.31453292741548</v>
      </c>
      <c r="O61" s="324"/>
      <c r="P61" s="288">
        <v>715.07348588745242</v>
      </c>
      <c r="Q61" s="324"/>
      <c r="T61" s="293">
        <v>783.87795971015919</v>
      </c>
    </row>
    <row r="62" spans="1:20">
      <c r="A62" s="280"/>
      <c r="K62" s="280" t="s">
        <v>35</v>
      </c>
      <c r="L62" s="290">
        <v>5000</v>
      </c>
      <c r="N62" s="288">
        <v>7191.1612871134603</v>
      </c>
      <c r="O62" s="324"/>
      <c r="P62" s="288">
        <v>8925.7797608673191</v>
      </c>
      <c r="Q62" s="324"/>
      <c r="T62" s="290">
        <v>9492.9208101054301</v>
      </c>
    </row>
    <row r="63" spans="1:20">
      <c r="A63" s="280"/>
      <c r="B63" s="293">
        <v>12527</v>
      </c>
      <c r="C63" s="293">
        <v>19596.94899275398</v>
      </c>
      <c r="D63" s="293">
        <v>14991.487286566131</v>
      </c>
      <c r="E63" s="293">
        <v>18617.101543116281</v>
      </c>
      <c r="F63" s="293"/>
      <c r="G63" s="293">
        <v>6215.4557965062531</v>
      </c>
      <c r="H63" s="293">
        <v>10208.655363863305</v>
      </c>
      <c r="I63" s="293">
        <v>6998.4533001077543</v>
      </c>
      <c r="J63" s="293">
        <v>9717.6178127023886</v>
      </c>
      <c r="K63" s="280" t="s">
        <v>36</v>
      </c>
      <c r="L63" s="290">
        <v>6638</v>
      </c>
      <c r="N63" s="288">
        <v>6637.995034258578</v>
      </c>
      <c r="O63" s="324"/>
      <c r="P63" s="288">
        <v>6733.4829774963982</v>
      </c>
      <c r="Q63" s="324"/>
      <c r="T63" s="290">
        <v>7161.3262251672531</v>
      </c>
    </row>
    <row r="64" spans="1:20">
      <c r="A64" s="280" t="s">
        <v>25</v>
      </c>
      <c r="B64" s="293">
        <v>10011.142433904823</v>
      </c>
      <c r="C64" s="293">
        <v>16548.671243484812</v>
      </c>
      <c r="D64" s="293">
        <v>11093.700592058936</v>
      </c>
      <c r="E64" s="293">
        <v>15452.194280786513</v>
      </c>
      <c r="F64" s="293"/>
      <c r="G64" s="293">
        <v>6104.3551426248923</v>
      </c>
      <c r="H64" s="293">
        <v>10090.653197246836</v>
      </c>
      <c r="I64" s="293">
        <v>6449.8259256156607</v>
      </c>
      <c r="J64" s="293">
        <v>9422.0696834064111</v>
      </c>
    </row>
    <row r="65" spans="1:10">
      <c r="A65" s="280" t="s">
        <v>27</v>
      </c>
      <c r="B65" s="293">
        <v>2068.4302996314696</v>
      </c>
      <c r="C65" s="293">
        <v>2068.4302996314696</v>
      </c>
      <c r="D65" s="293">
        <v>1499.148728656613</v>
      </c>
      <c r="E65" s="293">
        <v>1861.7101543116282</v>
      </c>
      <c r="F65" s="293"/>
      <c r="G65" s="293">
        <v>103.42151498157348</v>
      </c>
      <c r="H65" s="293">
        <v>103.42151498157348</v>
      </c>
      <c r="I65" s="293">
        <v>74.957436432830647</v>
      </c>
      <c r="J65" s="293">
        <v>93.085507715581414</v>
      </c>
    </row>
    <row r="66" spans="1:10">
      <c r="A66" s="280" t="s">
        <v>29</v>
      </c>
      <c r="B66" s="293">
        <v>322.15726646370774</v>
      </c>
      <c r="C66" s="293">
        <v>783.87795971015919</v>
      </c>
      <c r="D66" s="293">
        <v>1798.9784743879354</v>
      </c>
      <c r="E66" s="293">
        <v>930.85507715581412</v>
      </c>
      <c r="F66" s="293"/>
      <c r="G66" s="293">
        <v>4.9259520866010362</v>
      </c>
      <c r="H66" s="293">
        <v>10.273629878245861</v>
      </c>
      <c r="I66" s="293">
        <v>20.630487091604763</v>
      </c>
      <c r="J66" s="293">
        <v>12.199935480416961</v>
      </c>
    </row>
    <row r="67" spans="1:10">
      <c r="A67" s="280" t="s">
        <v>31</v>
      </c>
      <c r="B67" s="293">
        <v>125.27</v>
      </c>
      <c r="C67" s="293">
        <v>195.9694899275398</v>
      </c>
      <c r="D67" s="293">
        <v>149.91487286566129</v>
      </c>
      <c r="E67" s="293">
        <v>186.17101543116283</v>
      </c>
      <c r="F67" s="293"/>
      <c r="G67" s="293">
        <v>2.7531868131868129</v>
      </c>
      <c r="H67" s="293">
        <v>4.3070217566492266</v>
      </c>
      <c r="I67" s="293">
        <v>3.2948323706738747</v>
      </c>
      <c r="J67" s="293">
        <v>4.0916706688167652</v>
      </c>
    </row>
    <row r="68" spans="1:10" ht="13.5" thickBot="1">
      <c r="A68" s="296" t="s">
        <v>115</v>
      </c>
      <c r="B68" s="293">
        <v>0</v>
      </c>
      <c r="C68" s="293">
        <v>0</v>
      </c>
      <c r="D68" s="293">
        <v>449.74461859698386</v>
      </c>
      <c r="E68" s="293">
        <v>186.17101543116283</v>
      </c>
      <c r="F68" s="293"/>
      <c r="G68" s="293">
        <v>0</v>
      </c>
      <c r="H68" s="293">
        <v>0</v>
      </c>
      <c r="I68" s="293">
        <v>449.74461859698386</v>
      </c>
      <c r="J68" s="293">
        <v>186.17101543116283</v>
      </c>
    </row>
    <row r="69" spans="1:10">
      <c r="A69" s="276" t="s">
        <v>118</v>
      </c>
      <c r="B69" s="315"/>
      <c r="C69" s="315"/>
      <c r="D69" s="315"/>
      <c r="E69" s="315"/>
      <c r="F69" s="315"/>
      <c r="G69" s="315"/>
      <c r="H69" s="315"/>
      <c r="I69" s="315"/>
      <c r="J69" s="316"/>
    </row>
    <row r="70" spans="1:10">
      <c r="A70" s="280" t="s">
        <v>25</v>
      </c>
      <c r="B70" s="290"/>
      <c r="C70" s="290"/>
      <c r="D70" s="290"/>
      <c r="E70" s="290"/>
      <c r="F70" s="290"/>
      <c r="G70" s="290"/>
      <c r="H70" s="290"/>
      <c r="I70" s="290"/>
      <c r="J70" s="291"/>
    </row>
    <row r="71" spans="1:10">
      <c r="A71" s="280" t="s">
        <v>27</v>
      </c>
      <c r="B71" s="290"/>
      <c r="C71" s="290"/>
      <c r="D71" s="290"/>
      <c r="E71" s="290"/>
      <c r="F71" s="290"/>
      <c r="G71" s="290"/>
      <c r="H71" s="290"/>
      <c r="I71" s="290"/>
      <c r="J71" s="291"/>
    </row>
    <row r="72" spans="1:10">
      <c r="A72" s="280" t="s">
        <v>29</v>
      </c>
      <c r="B72" s="290"/>
      <c r="C72" s="290"/>
      <c r="D72" s="290"/>
      <c r="E72" s="290"/>
      <c r="F72" s="290"/>
      <c r="G72" s="290"/>
      <c r="H72" s="290"/>
      <c r="I72" s="290"/>
      <c r="J72" s="291"/>
    </row>
    <row r="73" spans="1:10">
      <c r="A73" s="280" t="s">
        <v>31</v>
      </c>
      <c r="B73" s="290"/>
      <c r="C73" s="290"/>
      <c r="D73" s="290"/>
      <c r="E73" s="290"/>
      <c r="F73" s="290"/>
      <c r="G73" s="290"/>
      <c r="H73" s="290"/>
      <c r="I73" s="290"/>
      <c r="J73" s="291"/>
    </row>
    <row r="74" spans="1:10" ht="13.5" thickBot="1">
      <c r="A74" s="305" t="s">
        <v>115</v>
      </c>
      <c r="B74" s="312"/>
      <c r="C74" s="312"/>
      <c r="D74" s="312"/>
      <c r="E74" s="312"/>
      <c r="F74" s="312"/>
      <c r="G74" s="312"/>
      <c r="H74" s="312"/>
      <c r="I74" s="312"/>
      <c r="J74" s="313"/>
    </row>
    <row r="75" spans="1:10">
      <c r="A75" s="302"/>
      <c r="B75" s="325" t="s">
        <v>120</v>
      </c>
      <c r="C75" s="325"/>
      <c r="D75" s="325"/>
      <c r="E75" s="325"/>
      <c r="F75" s="310"/>
      <c r="G75" s="325" t="s">
        <v>99</v>
      </c>
      <c r="H75" s="325"/>
      <c r="I75" s="310"/>
      <c r="J75" s="325"/>
    </row>
    <row r="76" spans="1:10">
      <c r="A76" s="302"/>
      <c r="B76" s="325" t="s">
        <v>102</v>
      </c>
      <c r="C76" s="325" t="s">
        <v>126</v>
      </c>
      <c r="D76" s="310" t="s">
        <v>129</v>
      </c>
      <c r="E76" s="325" t="s">
        <v>128</v>
      </c>
      <c r="F76" s="310"/>
      <c r="G76" s="325" t="s">
        <v>102</v>
      </c>
      <c r="H76" s="325" t="s">
        <v>126</v>
      </c>
      <c r="I76" s="310" t="s">
        <v>129</v>
      </c>
      <c r="J76" s="325" t="s">
        <v>128</v>
      </c>
    </row>
    <row r="77" spans="1:10">
      <c r="A77" s="280" t="s">
        <v>34</v>
      </c>
      <c r="F77" s="293"/>
    </row>
    <row r="78" spans="1:10">
      <c r="A78" s="280" t="s">
        <v>121</v>
      </c>
      <c r="B78" s="290">
        <v>11638</v>
      </c>
      <c r="C78" s="290">
        <v>16654.247035272681</v>
      </c>
      <c r="D78" s="293">
        <v>13317.091761086293</v>
      </c>
      <c r="E78" s="290">
        <v>15821.534683509046</v>
      </c>
      <c r="F78" s="293"/>
      <c r="G78" s="290">
        <v>1106.6246698872785</v>
      </c>
      <c r="H78" s="290">
        <v>2084.8971813503067</v>
      </c>
      <c r="I78" s="293">
        <v>1260.2901062195442</v>
      </c>
      <c r="J78" s="290">
        <v>1844.9489046688739</v>
      </c>
    </row>
    <row r="79" spans="1:10">
      <c r="A79" s="280" t="s">
        <v>35</v>
      </c>
      <c r="B79" s="290">
        <v>5000</v>
      </c>
      <c r="C79" s="290">
        <v>9492.9208101054301</v>
      </c>
      <c r="D79" s="293">
        <v>7457.5713862083239</v>
      </c>
      <c r="E79" s="290">
        <v>8385.4133822597942</v>
      </c>
      <c r="F79" s="293"/>
      <c r="G79" s="290">
        <v>1086.9565217391303</v>
      </c>
      <c r="H79" s="290">
        <v>2063.6784369794409</v>
      </c>
      <c r="I79" s="293">
        <v>1242.9285643680539</v>
      </c>
      <c r="J79" s="290">
        <v>1822.9159526651724</v>
      </c>
    </row>
    <row r="80" spans="1:10">
      <c r="A80" s="280" t="s">
        <v>36</v>
      </c>
      <c r="B80" s="290">
        <v>6638</v>
      </c>
      <c r="C80" s="290">
        <v>7161.3262251672531</v>
      </c>
      <c r="D80" s="293">
        <v>5859.5203748779677</v>
      </c>
      <c r="E80" s="290">
        <v>7436.1213012492508</v>
      </c>
      <c r="F80" s="293"/>
      <c r="G80" s="290">
        <v>19.668148148148148</v>
      </c>
      <c r="H80" s="290">
        <v>21.218744370865934</v>
      </c>
      <c r="I80" s="293">
        <v>17.361541851490276</v>
      </c>
      <c r="J80" s="290">
        <v>22.032952003701485</v>
      </c>
    </row>
    <row r="81" spans="1:20">
      <c r="A81" s="280" t="s">
        <v>37</v>
      </c>
      <c r="B81" s="290">
        <v>0</v>
      </c>
      <c r="C81" s="290">
        <v>0</v>
      </c>
      <c r="D81" s="293">
        <v>0</v>
      </c>
      <c r="E81" s="290">
        <v>0</v>
      </c>
      <c r="F81" s="293"/>
      <c r="G81" s="290">
        <v>0</v>
      </c>
      <c r="H81" s="290">
        <v>0</v>
      </c>
      <c r="I81" s="293">
        <v>0</v>
      </c>
      <c r="J81" s="290">
        <v>0</v>
      </c>
    </row>
    <row r="82" spans="1:20" ht="13.5" thickBot="1">
      <c r="A82" s="305" t="s">
        <v>38</v>
      </c>
      <c r="B82" s="312">
        <v>0</v>
      </c>
      <c r="C82" s="312">
        <v>0</v>
      </c>
      <c r="D82" s="293">
        <v>0</v>
      </c>
      <c r="E82" s="312">
        <v>0</v>
      </c>
      <c r="G82" s="312">
        <v>0</v>
      </c>
      <c r="H82" s="312">
        <v>0</v>
      </c>
      <c r="I82" s="293">
        <v>0</v>
      </c>
      <c r="J82" s="312">
        <v>0</v>
      </c>
    </row>
    <row r="83" spans="1:20">
      <c r="A83" s="276" t="s">
        <v>118</v>
      </c>
      <c r="B83" s="322"/>
      <c r="C83" s="322"/>
      <c r="D83" s="322"/>
      <c r="E83" s="275"/>
      <c r="F83" s="322"/>
      <c r="G83" s="322"/>
      <c r="H83" s="322"/>
      <c r="I83" s="275"/>
      <c r="J83" s="278"/>
    </row>
    <row r="84" spans="1:20">
      <c r="A84" s="280" t="s">
        <v>35</v>
      </c>
      <c r="B84" s="281"/>
      <c r="C84" s="281"/>
      <c r="D84" s="281"/>
      <c r="E84" s="281"/>
      <c r="F84" s="281"/>
      <c r="G84" s="281"/>
      <c r="H84" s="303"/>
      <c r="I84" s="303"/>
      <c r="J84" s="304"/>
      <c r="O84" s="323">
        <v>2025</v>
      </c>
      <c r="P84" s="323">
        <v>2030</v>
      </c>
      <c r="Q84" s="323">
        <v>2035</v>
      </c>
      <c r="R84" s="273">
        <v>2040</v>
      </c>
      <c r="S84" s="273">
        <v>2045</v>
      </c>
      <c r="T84" s="273">
        <v>2050</v>
      </c>
    </row>
    <row r="85" spans="1:20">
      <c r="A85" s="280" t="s">
        <v>36</v>
      </c>
      <c r="B85" s="281"/>
      <c r="C85" s="281"/>
      <c r="D85" s="281"/>
      <c r="E85" s="281"/>
      <c r="F85" s="281"/>
      <c r="G85" s="281"/>
      <c r="H85" s="303"/>
      <c r="I85" s="303"/>
      <c r="J85" s="304"/>
      <c r="N85" s="273" t="s">
        <v>177</v>
      </c>
      <c r="O85" s="326">
        <f t="shared" ref="O85:T89" si="5">(E103-1)/(E$102-$D$102)</f>
        <v>4.3228381037677718E-2</v>
      </c>
      <c r="P85" s="326">
        <f t="shared" si="5"/>
        <v>2.9999903177781451E-2</v>
      </c>
      <c r="Q85" s="326">
        <f t="shared" si="5"/>
        <v>2.2239028793120792E-2</v>
      </c>
      <c r="R85" s="326">
        <f t="shared" si="5"/>
        <v>1.8358591600790487E-2</v>
      </c>
      <c r="S85" s="326">
        <f t="shared" si="5"/>
        <v>1.6030329285392286E-2</v>
      </c>
      <c r="T85" s="326">
        <f t="shared" si="5"/>
        <v>1.4478154408460149E-2</v>
      </c>
    </row>
    <row r="86" spans="1:20">
      <c r="A86" s="280" t="s">
        <v>37</v>
      </c>
      <c r="B86" s="281"/>
      <c r="C86" s="281"/>
      <c r="D86" s="281"/>
      <c r="E86" s="281"/>
      <c r="F86" s="281"/>
      <c r="G86" s="281"/>
      <c r="H86" s="303"/>
      <c r="I86" s="303"/>
      <c r="J86" s="304"/>
      <c r="N86" s="273" t="s">
        <v>178</v>
      </c>
      <c r="O86" s="326">
        <f t="shared" si="5"/>
        <v>-4.9302223748677763E-3</v>
      </c>
      <c r="P86" s="326">
        <f t="shared" si="5"/>
        <v>-4.9302223748677876E-3</v>
      </c>
      <c r="Q86" s="326">
        <f t="shared" si="5"/>
        <v>-2.4651111874338955E-3</v>
      </c>
      <c r="R86" s="326">
        <f t="shared" si="5"/>
        <v>-1.2325555937169441E-3</v>
      </c>
      <c r="S86" s="326">
        <f t="shared" si="5"/>
        <v>-4.9302223748677761E-4</v>
      </c>
      <c r="T86" s="326">
        <f t="shared" si="5"/>
        <v>0</v>
      </c>
    </row>
    <row r="87" spans="1:20" ht="13.5" thickBot="1">
      <c r="A87" s="305" t="s">
        <v>38</v>
      </c>
      <c r="B87" s="306"/>
      <c r="C87" s="306"/>
      <c r="D87" s="306"/>
      <c r="E87" s="306"/>
      <c r="F87" s="306"/>
      <c r="G87" s="306"/>
      <c r="H87" s="306"/>
      <c r="I87" s="306"/>
      <c r="J87" s="307"/>
      <c r="N87" s="273" t="s">
        <v>179</v>
      </c>
      <c r="O87" s="326">
        <f t="shared" si="5"/>
        <v>8.1309401820370025E-2</v>
      </c>
      <c r="P87" s="326">
        <f t="shared" si="5"/>
        <v>4.7976068487036748E-2</v>
      </c>
      <c r="Q87" s="326">
        <f t="shared" si="5"/>
        <v>3.4357092095801359E-2</v>
      </c>
      <c r="R87" s="326">
        <f t="shared" si="5"/>
        <v>2.7547603900183647E-2</v>
      </c>
      <c r="S87" s="326">
        <f t="shared" si="5"/>
        <v>2.3461910982813031E-2</v>
      </c>
      <c r="T87" s="326">
        <f t="shared" si="5"/>
        <v>2.0738115704565956E-2</v>
      </c>
    </row>
    <row r="88" spans="1:20">
      <c r="N88" s="280" t="s">
        <v>35</v>
      </c>
      <c r="O88" s="326">
        <f t="shared" si="5"/>
        <v>6.4403704756445551E-2</v>
      </c>
      <c r="P88" s="326">
        <f t="shared" si="5"/>
        <v>4.6430344913937292E-2</v>
      </c>
      <c r="Q88" s="326">
        <f t="shared" si="5"/>
        <v>3.2504252434771425E-2</v>
      </c>
      <c r="R88" s="326">
        <f t="shared" si="5"/>
        <v>2.5541206195188494E-2</v>
      </c>
      <c r="S88" s="326">
        <f t="shared" si="5"/>
        <v>2.1363378451438732E-2</v>
      </c>
      <c r="T88" s="326">
        <f t="shared" si="5"/>
        <v>1.857815995560556E-2</v>
      </c>
    </row>
    <row r="89" spans="1:20">
      <c r="N89" s="280" t="s">
        <v>36</v>
      </c>
      <c r="O89" s="326">
        <f t="shared" si="5"/>
        <v>1.4384304490925981E-3</v>
      </c>
      <c r="P89" s="326">
        <f t="shared" si="5"/>
        <v>1.4384678530040107E-3</v>
      </c>
      <c r="Q89" s="326">
        <f t="shared" si="5"/>
        <v>2.0332062670246859E-3</v>
      </c>
      <c r="R89" s="326">
        <f t="shared" si="5"/>
        <v>2.3305754740350127E-3</v>
      </c>
      <c r="S89" s="326">
        <f t="shared" si="5"/>
        <v>2.5089969982412174E-3</v>
      </c>
      <c r="T89" s="326">
        <f t="shared" si="5"/>
        <v>2.6279446810453465E-3</v>
      </c>
    </row>
    <row r="92" spans="1:20">
      <c r="O92" s="273">
        <v>227049564</v>
      </c>
      <c r="P92" s="327">
        <f>O92/C37/1000000</f>
        <v>0.31751920394337763</v>
      </c>
    </row>
    <row r="93" spans="1:20" ht="13.5" thickBot="1"/>
    <row r="94" spans="1:20">
      <c r="A94" s="328" t="s">
        <v>125</v>
      </c>
      <c r="B94" s="329"/>
      <c r="C94" s="329"/>
      <c r="D94" s="329"/>
      <c r="E94" s="329"/>
      <c r="F94" s="329"/>
      <c r="G94" s="329"/>
      <c r="H94" s="329"/>
      <c r="I94" s="329"/>
      <c r="J94" s="330"/>
    </row>
    <row r="95" spans="1:20">
      <c r="A95" s="280"/>
      <c r="B95" s="331">
        <v>2010</v>
      </c>
      <c r="C95" s="331">
        <v>2015</v>
      </c>
      <c r="D95" s="331">
        <v>2020</v>
      </c>
      <c r="E95" s="331">
        <v>2025</v>
      </c>
      <c r="F95" s="331">
        <v>2030</v>
      </c>
      <c r="G95" s="331">
        <v>2035</v>
      </c>
      <c r="H95" s="281">
        <v>2040</v>
      </c>
      <c r="I95" s="281">
        <v>2045</v>
      </c>
      <c r="J95" s="282">
        <v>2050</v>
      </c>
    </row>
    <row r="96" spans="1:20">
      <c r="A96" s="280" t="s">
        <v>177</v>
      </c>
      <c r="B96" s="289">
        <v>6104.4</v>
      </c>
      <c r="C96" s="288">
        <f>AVERAGE(B96,D96)</f>
        <v>7035.0269874759888</v>
      </c>
      <c r="D96" s="325">
        <v>7965.653974951977</v>
      </c>
      <c r="E96" s="288">
        <f>AVERAGE(D96,F96)</f>
        <v>8555.5911236007796</v>
      </c>
      <c r="F96" s="325">
        <v>9145.5282722495813</v>
      </c>
      <c r="G96" s="288">
        <f>AVERAGE(F96,H96)</f>
        <v>9381.8095034988946</v>
      </c>
      <c r="H96" s="288">
        <f>AVERAGE(F96,J96)</f>
        <v>9618.0907347482098</v>
      </c>
      <c r="I96" s="288">
        <f>AVERAGE(H96,J96)</f>
        <v>9854.3719659975231</v>
      </c>
      <c r="J96" s="310">
        <v>10090.653197246836</v>
      </c>
    </row>
    <row r="97" spans="1:10">
      <c r="A97" s="280" t="s">
        <v>178</v>
      </c>
      <c r="B97" s="325">
        <v>2068.4302996314696</v>
      </c>
      <c r="C97" s="288">
        <f>AVERAGE(B97,D97)</f>
        <v>2068.4302996314696</v>
      </c>
      <c r="D97" s="332">
        <v>2068.4302996314696</v>
      </c>
      <c r="E97" s="288">
        <f>AVERAGE(D97,F97)</f>
        <v>2017.441192910982</v>
      </c>
      <c r="F97" s="332">
        <v>1966.4520861904941</v>
      </c>
      <c r="G97" s="288">
        <f>AVERAGE(F97,H97)</f>
        <v>1991.9466395507379</v>
      </c>
      <c r="H97" s="288">
        <f>AVERAGE(F97,J97)</f>
        <v>2017.441192910982</v>
      </c>
      <c r="I97" s="288">
        <f>AVERAGE(H97,J97)</f>
        <v>2042.9357462712258</v>
      </c>
      <c r="J97" s="333">
        <v>2068.4302996314696</v>
      </c>
    </row>
    <row r="98" spans="1:10">
      <c r="A98" s="334" t="s">
        <v>179</v>
      </c>
      <c r="B98" s="335">
        <v>322.15726646370774</v>
      </c>
      <c r="C98" s="336">
        <f>AVERAGE(B98,D98)</f>
        <v>483.23589969556161</v>
      </c>
      <c r="D98" s="337">
        <v>644.31453292741548</v>
      </c>
      <c r="E98" s="336">
        <f>AVERAGE(D98,F98)</f>
        <v>679.6940094074339</v>
      </c>
      <c r="F98" s="337">
        <v>715.07348588745242</v>
      </c>
      <c r="G98" s="336">
        <f>AVERAGE(F98,H98)</f>
        <v>732.27460434312911</v>
      </c>
      <c r="H98" s="336">
        <f>AVERAGE(F98,J98)</f>
        <v>749.4757227988058</v>
      </c>
      <c r="I98" s="336">
        <f>AVERAGE(H98,J98)</f>
        <v>766.6768412544825</v>
      </c>
      <c r="J98" s="338">
        <v>783.87795971015919</v>
      </c>
    </row>
    <row r="99" spans="1:10">
      <c r="A99" s="280" t="s">
        <v>35</v>
      </c>
      <c r="B99" s="325">
        <v>5000</v>
      </c>
      <c r="C99" s="288">
        <f>AVERAGE(B99,D99)</f>
        <v>6095.5806435567301</v>
      </c>
      <c r="D99" s="332">
        <v>7191.1612871134603</v>
      </c>
      <c r="E99" s="288">
        <f>AVERAGE(D99,F99)</f>
        <v>8058.4705239903897</v>
      </c>
      <c r="F99" s="332">
        <v>8925.7797608673191</v>
      </c>
      <c r="G99" s="288">
        <f>AVERAGE(F99,H99)</f>
        <v>9067.5650231768468</v>
      </c>
      <c r="H99" s="288">
        <f>AVERAGE(F99,J99)</f>
        <v>9209.3502854863746</v>
      </c>
      <c r="I99" s="288">
        <f>AVERAGE(H99,J99)</f>
        <v>9351.1355477959023</v>
      </c>
      <c r="J99" s="333">
        <v>9492.9208101054301</v>
      </c>
    </row>
    <row r="100" spans="1:10">
      <c r="A100" s="280" t="s">
        <v>36</v>
      </c>
      <c r="B100" s="325">
        <v>6638</v>
      </c>
      <c r="C100" s="288">
        <f>AVERAGE(B100,D100)</f>
        <v>6637.997517129289</v>
      </c>
      <c r="D100" s="332">
        <v>6637.995034258578</v>
      </c>
      <c r="E100" s="288">
        <f>AVERAGE(D100,F100)</f>
        <v>6685.7390058774881</v>
      </c>
      <c r="F100" s="332">
        <v>6733.4829774963982</v>
      </c>
      <c r="G100" s="288">
        <f>AVERAGE(F100,H100)</f>
        <v>6840.443789414112</v>
      </c>
      <c r="H100" s="288">
        <f>AVERAGE(F100,J100)</f>
        <v>6947.4046013318257</v>
      </c>
      <c r="I100" s="288">
        <f>AVERAGE(H100,J100)</f>
        <v>7054.3654132495394</v>
      </c>
      <c r="J100" s="333">
        <v>7161.3262251672531</v>
      </c>
    </row>
    <row r="101" spans="1:10">
      <c r="A101" s="280"/>
      <c r="B101" s="281"/>
      <c r="C101" s="281"/>
      <c r="D101" s="281"/>
      <c r="E101" s="281"/>
      <c r="F101" s="281"/>
      <c r="G101" s="281"/>
      <c r="H101" s="281"/>
      <c r="I101" s="281"/>
      <c r="J101" s="282"/>
    </row>
    <row r="102" spans="1:10">
      <c r="A102" s="280"/>
      <c r="B102" s="331">
        <v>2010</v>
      </c>
      <c r="C102" s="331">
        <v>2015</v>
      </c>
      <c r="D102" s="331">
        <v>2020</v>
      </c>
      <c r="E102" s="331">
        <v>2025</v>
      </c>
      <c r="F102" s="331">
        <v>2030</v>
      </c>
      <c r="G102" s="331">
        <v>2035</v>
      </c>
      <c r="H102" s="281">
        <v>2040</v>
      </c>
      <c r="I102" s="281">
        <v>2045</v>
      </c>
      <c r="J102" s="282">
        <v>2050</v>
      </c>
    </row>
    <row r="103" spans="1:10">
      <c r="A103" s="280" t="s">
        <v>177</v>
      </c>
      <c r="B103" s="281">
        <f>1</f>
        <v>1</v>
      </c>
      <c r="C103" s="281">
        <f>1</f>
        <v>1</v>
      </c>
      <c r="D103" s="339">
        <f>D96/$C96</f>
        <v>1.1322847785989627</v>
      </c>
      <c r="E103" s="339">
        <f t="shared" ref="E103:J103" si="6">E96/$C96</f>
        <v>1.2161419051883886</v>
      </c>
      <c r="F103" s="339">
        <f t="shared" si="6"/>
        <v>1.2999990317778145</v>
      </c>
      <c r="G103" s="339">
        <f t="shared" si="6"/>
        <v>1.3335854318968119</v>
      </c>
      <c r="H103" s="339">
        <f t="shared" si="6"/>
        <v>1.3671718320158097</v>
      </c>
      <c r="I103" s="339">
        <f t="shared" si="6"/>
        <v>1.4007582321348071</v>
      </c>
      <c r="J103" s="339">
        <f t="shared" si="6"/>
        <v>1.4343446322538045</v>
      </c>
    </row>
    <row r="104" spans="1:10">
      <c r="A104" s="280" t="s">
        <v>178</v>
      </c>
      <c r="B104" s="281">
        <f>1</f>
        <v>1</v>
      </c>
      <c r="C104" s="281">
        <f>1</f>
        <v>1</v>
      </c>
      <c r="D104" s="339">
        <f t="shared" ref="D104:J107" si="7">D97/$C97</f>
        <v>1</v>
      </c>
      <c r="E104" s="339">
        <f t="shared" si="7"/>
        <v>0.97534888812566112</v>
      </c>
      <c r="F104" s="339">
        <f t="shared" si="7"/>
        <v>0.95069777625132212</v>
      </c>
      <c r="G104" s="339">
        <f t="shared" si="7"/>
        <v>0.96302333218849157</v>
      </c>
      <c r="H104" s="339">
        <f t="shared" si="7"/>
        <v>0.97534888812566112</v>
      </c>
      <c r="I104" s="339">
        <f t="shared" si="7"/>
        <v>0.98767444406283056</v>
      </c>
      <c r="J104" s="339">
        <f t="shared" si="7"/>
        <v>1</v>
      </c>
    </row>
    <row r="105" spans="1:10">
      <c r="A105" s="280" t="s">
        <v>179</v>
      </c>
      <c r="B105" s="281">
        <f>1</f>
        <v>1</v>
      </c>
      <c r="C105" s="281">
        <f>1</f>
        <v>1</v>
      </c>
      <c r="D105" s="339">
        <f t="shared" si="7"/>
        <v>1.3333333333333333</v>
      </c>
      <c r="E105" s="339">
        <f t="shared" si="7"/>
        <v>1.4065470091018502</v>
      </c>
      <c r="F105" s="339">
        <f t="shared" si="7"/>
        <v>1.4797606848703675</v>
      </c>
      <c r="G105" s="339">
        <f t="shared" si="7"/>
        <v>1.5153563814370203</v>
      </c>
      <c r="H105" s="339">
        <f t="shared" si="7"/>
        <v>1.550952078003673</v>
      </c>
      <c r="I105" s="339">
        <f t="shared" si="7"/>
        <v>1.5865477745703258</v>
      </c>
      <c r="J105" s="339">
        <f t="shared" si="7"/>
        <v>1.6221434711369787</v>
      </c>
    </row>
    <row r="106" spans="1:10">
      <c r="A106" s="280" t="s">
        <v>35</v>
      </c>
      <c r="B106" s="281">
        <f>1</f>
        <v>1</v>
      </c>
      <c r="C106" s="281">
        <f>1</f>
        <v>1</v>
      </c>
      <c r="D106" s="339">
        <f t="shared" si="7"/>
        <v>1.1797335984250823</v>
      </c>
      <c r="E106" s="339">
        <f t="shared" si="7"/>
        <v>1.3220185237822277</v>
      </c>
      <c r="F106" s="339">
        <f t="shared" si="7"/>
        <v>1.4643034491393729</v>
      </c>
      <c r="G106" s="339">
        <f t="shared" si="7"/>
        <v>1.4875637865215714</v>
      </c>
      <c r="H106" s="339">
        <f t="shared" si="7"/>
        <v>1.5108241239037699</v>
      </c>
      <c r="I106" s="339">
        <f t="shared" si="7"/>
        <v>1.5340844612859683</v>
      </c>
      <c r="J106" s="339">
        <f t="shared" si="7"/>
        <v>1.5573447986681668</v>
      </c>
    </row>
    <row r="107" spans="1:10">
      <c r="A107" s="280" t="s">
        <v>36</v>
      </c>
      <c r="B107" s="281">
        <f>1</f>
        <v>1</v>
      </c>
      <c r="C107" s="281">
        <f>1</f>
        <v>1</v>
      </c>
      <c r="D107" s="339">
        <f t="shared" si="7"/>
        <v>0.99999962596088587</v>
      </c>
      <c r="E107" s="339">
        <f t="shared" si="7"/>
        <v>1.007192152245463</v>
      </c>
      <c r="F107" s="339">
        <f t="shared" si="7"/>
        <v>1.0143846785300401</v>
      </c>
      <c r="G107" s="339">
        <f t="shared" si="7"/>
        <v>1.0304980940053703</v>
      </c>
      <c r="H107" s="339">
        <f t="shared" si="7"/>
        <v>1.0466115094807003</v>
      </c>
      <c r="I107" s="339">
        <f t="shared" si="7"/>
        <v>1.0627249249560304</v>
      </c>
      <c r="J107" s="339">
        <f t="shared" si="7"/>
        <v>1.0788383404313604</v>
      </c>
    </row>
    <row r="108" spans="1:10">
      <c r="A108" s="280"/>
      <c r="B108" s="281"/>
      <c r="C108" s="281"/>
      <c r="D108" s="281"/>
      <c r="E108" s="281"/>
      <c r="F108" s="281"/>
      <c r="G108" s="281"/>
      <c r="H108" s="281"/>
      <c r="I108" s="281"/>
      <c r="J108" s="282">
        <f>J114/J98</f>
        <v>1.1875</v>
      </c>
    </row>
    <row r="109" spans="1:10" ht="13.5" thickBot="1">
      <c r="A109" s="305" t="s">
        <v>180</v>
      </c>
      <c r="B109" s="306">
        <v>1</v>
      </c>
      <c r="C109" s="306">
        <v>1</v>
      </c>
      <c r="D109" s="306">
        <v>1</v>
      </c>
      <c r="E109" s="306">
        <v>1</v>
      </c>
      <c r="F109" s="306">
        <v>1</v>
      </c>
      <c r="G109" s="340">
        <f>G104/$F104</f>
        <v>1.0129647467839571</v>
      </c>
      <c r="H109" s="340">
        <f>H104/$F104</f>
        <v>1.0259294935679142</v>
      </c>
      <c r="I109" s="340">
        <f>I104/$F104</f>
        <v>1.0388942403518713</v>
      </c>
      <c r="J109" s="341">
        <f>J104/$F104</f>
        <v>1.0518589871358284</v>
      </c>
    </row>
    <row r="110" spans="1:10">
      <c r="A110" s="342" t="s">
        <v>156</v>
      </c>
      <c r="B110" s="314"/>
      <c r="C110" s="314"/>
      <c r="D110" s="314"/>
      <c r="E110" s="314"/>
      <c r="F110" s="314"/>
      <c r="G110" s="314"/>
      <c r="H110" s="314"/>
      <c r="I110" s="314"/>
      <c r="J110" s="343"/>
    </row>
    <row r="111" spans="1:10">
      <c r="A111" s="280"/>
      <c r="B111" s="331">
        <v>2010</v>
      </c>
      <c r="C111" s="331">
        <v>2015</v>
      </c>
      <c r="D111" s="331">
        <v>2020</v>
      </c>
      <c r="E111" s="331">
        <v>2025</v>
      </c>
      <c r="F111" s="331">
        <v>2030</v>
      </c>
      <c r="G111" s="331">
        <v>2035</v>
      </c>
      <c r="H111" s="331">
        <v>2040</v>
      </c>
      <c r="I111" s="331">
        <v>2045</v>
      </c>
      <c r="J111" s="344">
        <v>2050</v>
      </c>
    </row>
    <row r="112" spans="1:10">
      <c r="A112" s="280" t="s">
        <v>177</v>
      </c>
      <c r="B112" s="289">
        <v>6104.4</v>
      </c>
      <c r="C112" s="288">
        <f>AVERAGE(B112,D112)</f>
        <v>6621.3025290697678</v>
      </c>
      <c r="D112" s="333">
        <v>7138.2050581395351</v>
      </c>
      <c r="E112" s="288">
        <f>AVERAGE(D112,F112)</f>
        <v>7725.9089653520114</v>
      </c>
      <c r="F112" s="345">
        <v>8313.6128725644885</v>
      </c>
      <c r="G112" s="288">
        <f>AVERAGE(F112,H112)</f>
        <v>8590.7270752749682</v>
      </c>
      <c r="H112" s="288">
        <f>AVERAGE(F112,J112)</f>
        <v>8867.8412779854498</v>
      </c>
      <c r="I112" s="288">
        <f>AVERAGE(H112,J112)</f>
        <v>9144.9554806959313</v>
      </c>
      <c r="J112" s="333">
        <v>9422.0696834064111</v>
      </c>
    </row>
    <row r="113" spans="1:10">
      <c r="A113" s="280" t="s">
        <v>178</v>
      </c>
      <c r="B113" s="325">
        <v>2068.4302996314696</v>
      </c>
      <c r="C113" s="288">
        <f>AVERAGE(B113,D113)</f>
        <v>2004.3060298157347</v>
      </c>
      <c r="D113" s="332">
        <v>1940.1817599999999</v>
      </c>
      <c r="E113" s="288">
        <f>AVERAGE(D113,F113)</f>
        <v>1904.1556209404848</v>
      </c>
      <c r="F113" s="332">
        <v>1868.1294818809695</v>
      </c>
      <c r="G113" s="288">
        <f>AVERAGE(F113,H113)</f>
        <v>1866.5246499886343</v>
      </c>
      <c r="H113" s="288">
        <f>AVERAGE(F113,J113)</f>
        <v>1864.919818096299</v>
      </c>
      <c r="I113" s="288">
        <f>AVERAGE(H113,J113)</f>
        <v>1863.3149862039636</v>
      </c>
      <c r="J113" s="333">
        <v>1861.7101543116282</v>
      </c>
    </row>
    <row r="114" spans="1:10">
      <c r="A114" s="280" t="s">
        <v>179</v>
      </c>
      <c r="B114" s="335">
        <v>322.15726646370774</v>
      </c>
      <c r="C114" s="288">
        <f>AVERAGE(B114,D114)</f>
        <v>540.02038323185388</v>
      </c>
      <c r="D114" s="332">
        <v>757.88350000000003</v>
      </c>
      <c r="E114" s="288">
        <f>AVERAGE(D114,F114)</f>
        <v>803.51663224567483</v>
      </c>
      <c r="F114" s="332">
        <v>849.14976449134974</v>
      </c>
      <c r="G114" s="288">
        <f>AVERAGE(F114,H114)</f>
        <v>869.57609265746578</v>
      </c>
      <c r="H114" s="288">
        <f>AVERAGE(F114,J114)</f>
        <v>890.00242082358193</v>
      </c>
      <c r="I114" s="288">
        <f>AVERAGE(H114,J114)</f>
        <v>910.42874898969808</v>
      </c>
      <c r="J114" s="333">
        <v>930.85507715581412</v>
      </c>
    </row>
    <row r="115" spans="1:10">
      <c r="A115" s="280" t="s">
        <v>35</v>
      </c>
      <c r="B115" s="325">
        <v>5000</v>
      </c>
      <c r="C115" s="288">
        <f>AVERAGE(B115,D115)</f>
        <v>5694.6972190008219</v>
      </c>
      <c r="D115" s="332">
        <v>6389.3944380016446</v>
      </c>
      <c r="E115" s="288">
        <f>AVERAGE(D115,F115)</f>
        <v>7136.916613383888</v>
      </c>
      <c r="F115" s="332">
        <v>7884.4387887661323</v>
      </c>
      <c r="G115" s="288">
        <f>AVERAGE(F115,H115)</f>
        <v>8009.6824371395478</v>
      </c>
      <c r="H115" s="288">
        <f>AVERAGE(F115,J115)</f>
        <v>8134.9260855129633</v>
      </c>
      <c r="I115" s="288">
        <f>AVERAGE(H115,J115)</f>
        <v>8260.1697338863778</v>
      </c>
      <c r="J115" s="333">
        <v>8385.4133822597942</v>
      </c>
    </row>
    <row r="116" spans="1:10">
      <c r="A116" s="334" t="s">
        <v>36</v>
      </c>
      <c r="B116" s="335">
        <v>6638</v>
      </c>
      <c r="C116" s="336">
        <f>AVERAGE(B116,D116)</f>
        <v>6921.530906532842</v>
      </c>
      <c r="D116" s="337">
        <v>7205.0618130656849</v>
      </c>
      <c r="E116" s="336">
        <f>AVERAGE(D116,F116)</f>
        <v>7098.4613128725414</v>
      </c>
      <c r="F116" s="337">
        <v>6991.8608126793988</v>
      </c>
      <c r="G116" s="336">
        <f>AVERAGE(F116,H116)</f>
        <v>7102.925934821862</v>
      </c>
      <c r="H116" s="336">
        <f>AVERAGE(F116,J116)</f>
        <v>7213.9910569643253</v>
      </c>
      <c r="I116" s="336">
        <f>AVERAGE(H116,J116)</f>
        <v>7325.0561791067885</v>
      </c>
      <c r="J116" s="338">
        <v>7436.1213012492508</v>
      </c>
    </row>
    <row r="117" spans="1:10">
      <c r="A117" s="302" t="s">
        <v>181</v>
      </c>
      <c r="B117" s="331">
        <v>2010</v>
      </c>
      <c r="C117" s="331">
        <v>2015</v>
      </c>
      <c r="D117" s="331">
        <v>2020</v>
      </c>
      <c r="E117" s="331">
        <v>2025</v>
      </c>
      <c r="F117" s="331">
        <v>2030</v>
      </c>
      <c r="G117" s="331">
        <v>2035</v>
      </c>
      <c r="H117" s="331">
        <v>2040</v>
      </c>
      <c r="I117" s="331">
        <v>2045</v>
      </c>
      <c r="J117" s="344">
        <v>2050</v>
      </c>
    </row>
    <row r="118" spans="1:10">
      <c r="A118" s="280" t="s">
        <v>177</v>
      </c>
      <c r="B118" s="281">
        <f>1</f>
        <v>1</v>
      </c>
      <c r="C118" s="281">
        <f>1</f>
        <v>1</v>
      </c>
      <c r="D118" s="339">
        <f t="shared" ref="D118:J122" si="8">D112/$C112</f>
        <v>1.0780665929098376</v>
      </c>
      <c r="E118" s="339">
        <f t="shared" si="8"/>
        <v>1.1668261541339708</v>
      </c>
      <c r="F118" s="339">
        <f t="shared" si="8"/>
        <v>1.255585715358104</v>
      </c>
      <c r="G118" s="339">
        <f t="shared" si="8"/>
        <v>1.2974376321816981</v>
      </c>
      <c r="H118" s="339">
        <f t="shared" si="8"/>
        <v>1.3392895490052921</v>
      </c>
      <c r="I118" s="339">
        <f t="shared" si="8"/>
        <v>1.3811414658288863</v>
      </c>
      <c r="J118" s="346">
        <f t="shared" si="8"/>
        <v>1.4229933826524801</v>
      </c>
    </row>
    <row r="119" spans="1:10">
      <c r="A119" s="280" t="s">
        <v>178</v>
      </c>
      <c r="B119" s="281">
        <f>1</f>
        <v>1</v>
      </c>
      <c r="C119" s="281">
        <f>1</f>
        <v>1</v>
      </c>
      <c r="D119" s="339">
        <f t="shared" si="8"/>
        <v>0.96800674704270084</v>
      </c>
      <c r="E119" s="339">
        <f t="shared" si="8"/>
        <v>0.95003237660046491</v>
      </c>
      <c r="F119" s="339">
        <f t="shared" si="8"/>
        <v>0.93205800615822898</v>
      </c>
      <c r="G119" s="339">
        <f t="shared" si="8"/>
        <v>0.93125731411396928</v>
      </c>
      <c r="H119" s="339">
        <f t="shared" si="8"/>
        <v>0.93045662206970947</v>
      </c>
      <c r="I119" s="339">
        <f t="shared" si="8"/>
        <v>0.92965593002544966</v>
      </c>
      <c r="J119" s="346">
        <f t="shared" si="8"/>
        <v>0.92885523798118996</v>
      </c>
    </row>
    <row r="120" spans="1:10">
      <c r="A120" s="280" t="s">
        <v>179</v>
      </c>
      <c r="B120" s="281">
        <f>1</f>
        <v>1</v>
      </c>
      <c r="C120" s="281">
        <f>1</f>
        <v>1</v>
      </c>
      <c r="D120" s="339">
        <f t="shared" si="8"/>
        <v>1.4034349878875001</v>
      </c>
      <c r="E120" s="339">
        <f t="shared" si="8"/>
        <v>1.4879375986455881</v>
      </c>
      <c r="F120" s="339">
        <f t="shared" si="8"/>
        <v>1.572440209403676</v>
      </c>
      <c r="G120" s="339">
        <f t="shared" si="8"/>
        <v>1.6102653152707376</v>
      </c>
      <c r="H120" s="339">
        <f t="shared" si="8"/>
        <v>1.6480904211377994</v>
      </c>
      <c r="I120" s="339">
        <f t="shared" si="8"/>
        <v>1.6859155270048614</v>
      </c>
      <c r="J120" s="346">
        <f t="shared" si="8"/>
        <v>1.7237406328719229</v>
      </c>
    </row>
    <row r="121" spans="1:10">
      <c r="A121" s="280" t="s">
        <v>35</v>
      </c>
      <c r="B121" s="281">
        <f>1</f>
        <v>1</v>
      </c>
      <c r="C121" s="281">
        <f>1</f>
        <v>1</v>
      </c>
      <c r="D121" s="339">
        <f t="shared" si="8"/>
        <v>1.1219901940849302</v>
      </c>
      <c r="E121" s="339">
        <f t="shared" si="8"/>
        <v>1.253256554109845</v>
      </c>
      <c r="F121" s="339">
        <f t="shared" si="8"/>
        <v>1.3845229141347601</v>
      </c>
      <c r="G121" s="339">
        <f t="shared" si="8"/>
        <v>1.4065159444148476</v>
      </c>
      <c r="H121" s="339">
        <f t="shared" si="8"/>
        <v>1.4285089746949353</v>
      </c>
      <c r="I121" s="339">
        <f t="shared" si="8"/>
        <v>1.4505020049750226</v>
      </c>
      <c r="J121" s="346">
        <f t="shared" si="8"/>
        <v>1.4724950352551103</v>
      </c>
    </row>
    <row r="122" spans="1:10">
      <c r="A122" s="334" t="s">
        <v>36</v>
      </c>
      <c r="B122" s="347">
        <f>1</f>
        <v>1</v>
      </c>
      <c r="C122" s="347">
        <f>1</f>
        <v>1</v>
      </c>
      <c r="D122" s="348">
        <f t="shared" si="8"/>
        <v>1.0409636120045689</v>
      </c>
      <c r="E122" s="348">
        <f t="shared" si="8"/>
        <v>1.0255623226608299</v>
      </c>
      <c r="F122" s="348">
        <f t="shared" si="8"/>
        <v>1.0101610333170912</v>
      </c>
      <c r="G122" s="348">
        <f t="shared" si="8"/>
        <v>1.0262073565427283</v>
      </c>
      <c r="H122" s="348">
        <f t="shared" si="8"/>
        <v>1.0422536797683655</v>
      </c>
      <c r="I122" s="348">
        <f t="shared" si="8"/>
        <v>1.0583000029940026</v>
      </c>
      <c r="J122" s="349">
        <f t="shared" si="8"/>
        <v>1.0743463262196395</v>
      </c>
    </row>
    <row r="123" spans="1:10">
      <c r="A123" s="302" t="s">
        <v>175</v>
      </c>
      <c r="B123" s="331">
        <v>2010</v>
      </c>
      <c r="C123" s="331">
        <v>2015</v>
      </c>
      <c r="D123" s="331">
        <v>2020</v>
      </c>
      <c r="E123" s="331">
        <v>2025</v>
      </c>
      <c r="F123" s="331">
        <v>2030</v>
      </c>
      <c r="G123" s="331">
        <v>2035</v>
      </c>
      <c r="H123" s="331">
        <v>2040</v>
      </c>
      <c r="I123" s="331">
        <v>2045</v>
      </c>
      <c r="J123" s="344">
        <v>2050</v>
      </c>
    </row>
    <row r="124" spans="1:10">
      <c r="A124" s="280" t="s">
        <v>177</v>
      </c>
      <c r="B124" s="281">
        <f>1</f>
        <v>1</v>
      </c>
      <c r="C124" s="281">
        <f>1</f>
        <v>1</v>
      </c>
      <c r="D124" s="339">
        <f>D112/D96</f>
        <v>0.89612291477707195</v>
      </c>
      <c r="E124" s="339">
        <f t="shared" ref="E124:J124" si="9">E112/E96</f>
        <v>0.90302456647792895</v>
      </c>
      <c r="F124" s="339">
        <f t="shared" si="9"/>
        <v>0.90903582877662881</v>
      </c>
      <c r="G124" s="339">
        <f t="shared" si="9"/>
        <v>0.91567912054397438</v>
      </c>
      <c r="H124" s="339">
        <f t="shared" si="9"/>
        <v>0.92199600965997741</v>
      </c>
      <c r="I124" s="339">
        <f t="shared" si="9"/>
        <v>0.92800997488734638</v>
      </c>
      <c r="J124" s="339">
        <f t="shared" si="9"/>
        <v>0.93374229588795665</v>
      </c>
    </row>
    <row r="125" spans="1:10">
      <c r="A125" s="280" t="s">
        <v>178</v>
      </c>
      <c r="B125" s="281">
        <f>1</f>
        <v>1</v>
      </c>
      <c r="C125" s="281">
        <f>1</f>
        <v>1</v>
      </c>
      <c r="D125" s="339">
        <f t="shared" ref="D125:J128" si="10">D113/D97</f>
        <v>0.93799716642406583</v>
      </c>
      <c r="E125" s="339">
        <f t="shared" si="10"/>
        <v>0.94384690251762116</v>
      </c>
      <c r="F125" s="339">
        <f t="shared" si="10"/>
        <v>0.95000000000000007</v>
      </c>
      <c r="G125" s="339">
        <f t="shared" si="10"/>
        <v>0.93703546717978792</v>
      </c>
      <c r="H125" s="339">
        <f t="shared" si="10"/>
        <v>0.92439860187715872</v>
      </c>
      <c r="I125" s="339">
        <f t="shared" si="10"/>
        <v>0.91207713683844116</v>
      </c>
      <c r="J125" s="339">
        <f t="shared" si="10"/>
        <v>0.90005940961284869</v>
      </c>
    </row>
    <row r="126" spans="1:10">
      <c r="A126" s="280" t="s">
        <v>179</v>
      </c>
      <c r="B126" s="281">
        <f>1</f>
        <v>1</v>
      </c>
      <c r="C126" s="281">
        <f>1</f>
        <v>1</v>
      </c>
      <c r="D126" s="339">
        <f t="shared" si="10"/>
        <v>1.1762632398753894</v>
      </c>
      <c r="E126" s="339">
        <f t="shared" si="10"/>
        <v>1.1821740682195965</v>
      </c>
      <c r="F126" s="339">
        <f t="shared" si="10"/>
        <v>1.1875</v>
      </c>
      <c r="G126" s="339">
        <f t="shared" si="10"/>
        <v>1.1875</v>
      </c>
      <c r="H126" s="339">
        <f t="shared" si="10"/>
        <v>1.1875</v>
      </c>
      <c r="I126" s="339">
        <f t="shared" si="10"/>
        <v>1.1875000000000002</v>
      </c>
      <c r="J126" s="339">
        <f t="shared" si="10"/>
        <v>1.1875</v>
      </c>
    </row>
    <row r="127" spans="1:10">
      <c r="A127" s="280" t="s">
        <v>35</v>
      </c>
      <c r="B127" s="281">
        <f>1</f>
        <v>1</v>
      </c>
      <c r="C127" s="281">
        <f>1</f>
        <v>1</v>
      </c>
      <c r="D127" s="339">
        <f t="shared" si="10"/>
        <v>0.88850662402071556</v>
      </c>
      <c r="E127" s="339">
        <f t="shared" si="10"/>
        <v>0.88564158572485951</v>
      </c>
      <c r="F127" s="339">
        <f t="shared" si="10"/>
        <v>0.88333333333333341</v>
      </c>
      <c r="G127" s="339">
        <f t="shared" si="10"/>
        <v>0.8833333333333333</v>
      </c>
      <c r="H127" s="339">
        <f t="shared" si="10"/>
        <v>0.88333333333333319</v>
      </c>
      <c r="I127" s="339">
        <f t="shared" si="10"/>
        <v>0.88333333333333308</v>
      </c>
      <c r="J127" s="339">
        <f t="shared" si="10"/>
        <v>0.88333333333333308</v>
      </c>
    </row>
    <row r="128" spans="1:10" ht="13.5" thickBot="1">
      <c r="A128" s="305" t="s">
        <v>36</v>
      </c>
      <c r="B128" s="306">
        <f>1</f>
        <v>1</v>
      </c>
      <c r="C128" s="306">
        <f>1</f>
        <v>1</v>
      </c>
      <c r="D128" s="339">
        <f t="shared" si="10"/>
        <v>1.0854274183515482</v>
      </c>
      <c r="E128" s="339">
        <f t="shared" si="10"/>
        <v>1.0617317407443254</v>
      </c>
      <c r="F128" s="339">
        <f t="shared" si="10"/>
        <v>1.0383720930232556</v>
      </c>
      <c r="G128" s="339">
        <f t="shared" si="10"/>
        <v>1.0383720930232556</v>
      </c>
      <c r="H128" s="339">
        <f t="shared" si="10"/>
        <v>1.0383720930232556</v>
      </c>
      <c r="I128" s="339">
        <f t="shared" si="10"/>
        <v>1.0383720930232556</v>
      </c>
      <c r="J128" s="339">
        <f t="shared" si="10"/>
        <v>1.0383720930232556</v>
      </c>
    </row>
    <row r="129" spans="1:10">
      <c r="A129" s="350" t="s">
        <v>166</v>
      </c>
      <c r="B129" s="351"/>
      <c r="C129" s="351"/>
      <c r="D129" s="351"/>
      <c r="E129" s="351"/>
      <c r="F129" s="351"/>
      <c r="G129" s="351"/>
      <c r="H129" s="351"/>
      <c r="I129" s="351"/>
      <c r="J129" s="352"/>
    </row>
    <row r="130" spans="1:10">
      <c r="A130" s="280"/>
      <c r="B130" s="331">
        <v>2010</v>
      </c>
      <c r="C130" s="331">
        <v>2015</v>
      </c>
      <c r="D130" s="331">
        <v>2020</v>
      </c>
      <c r="E130" s="331">
        <v>2025</v>
      </c>
      <c r="F130" s="331">
        <v>2030</v>
      </c>
      <c r="G130" s="331">
        <v>2035</v>
      </c>
      <c r="H130" s="331">
        <v>2040</v>
      </c>
      <c r="I130" s="331">
        <v>2045</v>
      </c>
      <c r="J130" s="344">
        <v>2050</v>
      </c>
    </row>
    <row r="131" spans="1:10">
      <c r="A131" s="280" t="s">
        <v>177</v>
      </c>
      <c r="B131" s="353">
        <v>6104.4</v>
      </c>
      <c r="C131" s="288">
        <f>AVERAGE(B131,D131)</f>
        <v>6458.4719281604812</v>
      </c>
      <c r="D131" s="325">
        <v>6812.5438563209636</v>
      </c>
      <c r="E131" s="288">
        <f>AVERAGE(D131,F131)</f>
        <v>6643.9093376295932</v>
      </c>
      <c r="F131" s="325">
        <v>6475.2748189382228</v>
      </c>
      <c r="G131" s="288">
        <f>AVERAGE(F131,H131)</f>
        <v>6468.9125956075823</v>
      </c>
      <c r="H131" s="288">
        <f>AVERAGE(F131,J131)</f>
        <v>6462.5503722769417</v>
      </c>
      <c r="I131" s="288">
        <f>AVERAGE(H131,J131)</f>
        <v>6456.1881489463012</v>
      </c>
      <c r="J131" s="291">
        <v>6449.8259256156607</v>
      </c>
    </row>
    <row r="132" spans="1:10">
      <c r="A132" s="280" t="s">
        <v>178</v>
      </c>
      <c r="B132" s="325">
        <v>2068.4302996314696</v>
      </c>
      <c r="C132" s="288">
        <f>AVERAGE(B132,D132)</f>
        <v>1966.4579933122877</v>
      </c>
      <c r="D132" s="332">
        <v>1864.4856869931059</v>
      </c>
      <c r="E132" s="288">
        <f>AVERAGE(D132,F132)</f>
        <v>1767.9849801275129</v>
      </c>
      <c r="F132" s="332">
        <v>1671.48427326192</v>
      </c>
      <c r="G132" s="288">
        <f>AVERAGE(F132,H132)</f>
        <v>1628.4003871105933</v>
      </c>
      <c r="H132" s="288">
        <f>AVERAGE(F132,J132)</f>
        <v>1585.3165009592665</v>
      </c>
      <c r="I132" s="288">
        <f>AVERAGE(H132,J132)</f>
        <v>1542.2326148079396</v>
      </c>
      <c r="J132" s="291">
        <v>1499.148728656613</v>
      </c>
    </row>
    <row r="133" spans="1:10">
      <c r="A133" s="280" t="s">
        <v>179</v>
      </c>
      <c r="B133" s="335">
        <v>322.15726646370774</v>
      </c>
      <c r="C133" s="288">
        <f>AVERAGE(B133,D133)</f>
        <v>591.34456099949375</v>
      </c>
      <c r="D133" s="332">
        <v>860.53185553527965</v>
      </c>
      <c r="E133" s="288">
        <f>AVERAGE(D133,F133)</f>
        <v>1341.9846222741417</v>
      </c>
      <c r="F133" s="332">
        <v>1823.4373890130034</v>
      </c>
      <c r="G133" s="288">
        <f>AVERAGE(F133,H133)</f>
        <v>1817.3226603567364</v>
      </c>
      <c r="H133" s="288">
        <f>AVERAGE(F133,J133)</f>
        <v>1811.2079317004695</v>
      </c>
      <c r="I133" s="288">
        <f>AVERAGE(H133,J133)</f>
        <v>1805.0932030442025</v>
      </c>
      <c r="J133" s="291">
        <v>1798.9784743879354</v>
      </c>
    </row>
    <row r="134" spans="1:10">
      <c r="A134" s="280" t="s">
        <v>35</v>
      </c>
      <c r="B134" s="325">
        <v>5000</v>
      </c>
      <c r="C134" s="288">
        <f>AVERAGE(B134,D134)</f>
        <v>5422.8080939794763</v>
      </c>
      <c r="D134" s="332">
        <v>5845.6161879589527</v>
      </c>
      <c r="E134" s="288">
        <f>AVERAGE(D134,F134)</f>
        <v>5705.5531318725334</v>
      </c>
      <c r="F134" s="332">
        <v>5565.4900757861133</v>
      </c>
      <c r="G134" s="288">
        <f>AVERAGE(F134,H134)</f>
        <v>5505.8267329482142</v>
      </c>
      <c r="H134" s="288">
        <f>AVERAGE(F134,J134)</f>
        <v>5446.163390110315</v>
      </c>
      <c r="I134" s="288">
        <f>AVERAGE(H134,J134)</f>
        <v>5386.5000472724159</v>
      </c>
      <c r="J134" s="291">
        <v>5326.8367044345168</v>
      </c>
    </row>
    <row r="135" spans="1:10">
      <c r="A135" s="334" t="s">
        <v>36</v>
      </c>
      <c r="B135" s="335">
        <v>6638</v>
      </c>
      <c r="C135" s="336">
        <f>AVERAGE(B135,D135)</f>
        <v>7193.4200315541884</v>
      </c>
      <c r="D135" s="337">
        <v>7748.8400631083769</v>
      </c>
      <c r="E135" s="336">
        <f>AVERAGE(D135,F135)</f>
        <v>8048.5375883937731</v>
      </c>
      <c r="F135" s="337">
        <v>8348.2351136791694</v>
      </c>
      <c r="G135" s="336">
        <f>AVERAGE(F135,H135)</f>
        <v>8258.7400994223208</v>
      </c>
      <c r="H135" s="336">
        <f>AVERAGE(F135,J135)</f>
        <v>8169.2450851654721</v>
      </c>
      <c r="I135" s="336">
        <f>AVERAGE(H135,J135)</f>
        <v>8079.7500709086235</v>
      </c>
      <c r="J135" s="354">
        <v>7990.2550566517739</v>
      </c>
    </row>
    <row r="136" spans="1:10">
      <c r="A136" s="302" t="s">
        <v>181</v>
      </c>
      <c r="B136" s="331">
        <v>2010</v>
      </c>
      <c r="C136" s="331">
        <v>2015</v>
      </c>
      <c r="D136" s="331">
        <v>2020</v>
      </c>
      <c r="E136" s="331">
        <v>2025</v>
      </c>
      <c r="F136" s="331">
        <v>2030</v>
      </c>
      <c r="G136" s="331">
        <v>2035</v>
      </c>
      <c r="H136" s="331">
        <v>2040</v>
      </c>
      <c r="I136" s="331">
        <v>2045</v>
      </c>
      <c r="J136" s="344">
        <v>2050</v>
      </c>
    </row>
    <row r="137" spans="1:10">
      <c r="A137" s="280" t="s">
        <v>177</v>
      </c>
      <c r="B137" s="281">
        <f>1</f>
        <v>1</v>
      </c>
      <c r="C137" s="281">
        <f>1</f>
        <v>1</v>
      </c>
      <c r="D137" s="339">
        <f>D131/$C131</f>
        <v>1.0548228639992447</v>
      </c>
      <c r="E137" s="339">
        <f t="shared" ref="E137:J137" si="11">E131/$C131</f>
        <v>1.0287122730472142</v>
      </c>
      <c r="F137" s="339">
        <f t="shared" si="11"/>
        <v>1.0026016820951837</v>
      </c>
      <c r="G137" s="339">
        <f t="shared" si="11"/>
        <v>1.0016165847840226</v>
      </c>
      <c r="H137" s="339">
        <f t="shared" si="11"/>
        <v>1.0006314874728615</v>
      </c>
      <c r="I137" s="339">
        <f t="shared" si="11"/>
        <v>0.99964639016170032</v>
      </c>
      <c r="J137" s="346">
        <f t="shared" si="11"/>
        <v>0.99866129285053917</v>
      </c>
    </row>
    <row r="138" spans="1:10">
      <c r="A138" s="280" t="s">
        <v>178</v>
      </c>
      <c r="B138" s="281">
        <f>1</f>
        <v>1</v>
      </c>
      <c r="C138" s="281">
        <f>1</f>
        <v>1</v>
      </c>
      <c r="D138" s="339">
        <f t="shared" ref="D138:J141" si="12">D132/$C132</f>
        <v>0.94814417258544115</v>
      </c>
      <c r="E138" s="339">
        <f t="shared" si="12"/>
        <v>0.89907080961822716</v>
      </c>
      <c r="F138" s="339">
        <f t="shared" si="12"/>
        <v>0.84999744665101329</v>
      </c>
      <c r="G138" s="339">
        <f t="shared" si="12"/>
        <v>0.82808806119866685</v>
      </c>
      <c r="H138" s="339">
        <f t="shared" si="12"/>
        <v>0.80617867574632029</v>
      </c>
      <c r="I138" s="339">
        <f t="shared" si="12"/>
        <v>0.78426929029397374</v>
      </c>
      <c r="J138" s="346">
        <f t="shared" si="12"/>
        <v>0.7623599048416273</v>
      </c>
    </row>
    <row r="139" spans="1:10">
      <c r="A139" s="280" t="s">
        <v>179</v>
      </c>
      <c r="B139" s="281">
        <f>1</f>
        <v>1</v>
      </c>
      <c r="C139" s="281">
        <f>1</f>
        <v>1</v>
      </c>
      <c r="D139" s="339">
        <f t="shared" si="12"/>
        <v>1.4552122608193168</v>
      </c>
      <c r="E139" s="339">
        <f t="shared" si="12"/>
        <v>2.2693784821592202</v>
      </c>
      <c r="F139" s="339">
        <f t="shared" si="12"/>
        <v>3.0835447034991237</v>
      </c>
      <c r="G139" s="339">
        <f t="shared" si="12"/>
        <v>3.073204321495894</v>
      </c>
      <c r="H139" s="339">
        <f t="shared" si="12"/>
        <v>3.0628639394926642</v>
      </c>
      <c r="I139" s="339">
        <f t="shared" si="12"/>
        <v>3.0525235574894345</v>
      </c>
      <c r="J139" s="346">
        <f t="shared" si="12"/>
        <v>3.0421831754862043</v>
      </c>
    </row>
    <row r="140" spans="1:10">
      <c r="A140" s="280" t="s">
        <v>35</v>
      </c>
      <c r="B140" s="281">
        <f>1</f>
        <v>1</v>
      </c>
      <c r="C140" s="281">
        <f>1</f>
        <v>1</v>
      </c>
      <c r="D140" s="339">
        <f t="shared" si="12"/>
        <v>1.0779684780748349</v>
      </c>
      <c r="E140" s="339">
        <f t="shared" si="12"/>
        <v>1.0521399675210648</v>
      </c>
      <c r="F140" s="339">
        <f t="shared" si="12"/>
        <v>1.0263114569672944</v>
      </c>
      <c r="G140" s="339">
        <f t="shared" si="12"/>
        <v>1.0153091604073001</v>
      </c>
      <c r="H140" s="339">
        <f t="shared" si="12"/>
        <v>1.0043068638473061</v>
      </c>
      <c r="I140" s="339">
        <f t="shared" si="12"/>
        <v>0.99330456728731187</v>
      </c>
      <c r="J140" s="346">
        <f t="shared" si="12"/>
        <v>0.98230227072731757</v>
      </c>
    </row>
    <row r="141" spans="1:10">
      <c r="A141" s="334" t="s">
        <v>36</v>
      </c>
      <c r="B141" s="347">
        <f>1</f>
        <v>1</v>
      </c>
      <c r="C141" s="347">
        <f>1</f>
        <v>1</v>
      </c>
      <c r="D141" s="348">
        <f t="shared" si="12"/>
        <v>1.077212234113651</v>
      </c>
      <c r="E141" s="348">
        <f t="shared" si="12"/>
        <v>1.1188749653278387</v>
      </c>
      <c r="F141" s="348">
        <f t="shared" si="12"/>
        <v>1.1605376965420264</v>
      </c>
      <c r="G141" s="348">
        <f t="shared" si="12"/>
        <v>1.1480964636007724</v>
      </c>
      <c r="H141" s="348">
        <f t="shared" si="12"/>
        <v>1.1356552306595185</v>
      </c>
      <c r="I141" s="348">
        <f t="shared" si="12"/>
        <v>1.1232139977182645</v>
      </c>
      <c r="J141" s="349">
        <f t="shared" si="12"/>
        <v>1.1107727647770103</v>
      </c>
    </row>
    <row r="142" spans="1:10">
      <c r="A142" s="302" t="s">
        <v>176</v>
      </c>
      <c r="B142" s="331">
        <v>2010</v>
      </c>
      <c r="C142" s="331">
        <v>2015</v>
      </c>
      <c r="D142" s="331">
        <v>2020</v>
      </c>
      <c r="E142" s="331">
        <v>2025</v>
      </c>
      <c r="F142" s="331">
        <v>2030</v>
      </c>
      <c r="G142" s="331">
        <v>2035</v>
      </c>
      <c r="H142" s="331">
        <v>2040</v>
      </c>
      <c r="I142" s="331">
        <v>2045</v>
      </c>
      <c r="J142" s="344">
        <v>2050</v>
      </c>
    </row>
    <row r="143" spans="1:10">
      <c r="A143" s="280" t="s">
        <v>177</v>
      </c>
      <c r="B143" s="281">
        <f>1</f>
        <v>1</v>
      </c>
      <c r="C143" s="281">
        <f>1</f>
        <v>1</v>
      </c>
      <c r="D143" s="339">
        <f>D131/D96</f>
        <v>0.85523974274341175</v>
      </c>
      <c r="E143" s="339">
        <f t="shared" ref="E143:J143" si="13">E131/E96</f>
        <v>0.77655760328497092</v>
      </c>
      <c r="F143" s="339">
        <f t="shared" si="13"/>
        <v>0.70802633004659232</v>
      </c>
      <c r="G143" s="339">
        <f t="shared" si="13"/>
        <v>0.68951651525167257</v>
      </c>
      <c r="H143" s="339">
        <f t="shared" si="13"/>
        <v>0.67191613704880726</v>
      </c>
      <c r="I143" s="339">
        <f t="shared" si="13"/>
        <v>0.65515977793646885</v>
      </c>
      <c r="J143" s="339">
        <f t="shared" si="13"/>
        <v>0.63918814763899034</v>
      </c>
    </row>
    <row r="144" spans="1:10">
      <c r="A144" s="280" t="s">
        <v>178</v>
      </c>
      <c r="B144" s="281">
        <f>1</f>
        <v>1</v>
      </c>
      <c r="C144" s="281">
        <f>1</f>
        <v>1</v>
      </c>
      <c r="D144" s="339">
        <f t="shared" ref="D144:J147" si="14">D132/D97</f>
        <v>0.9014012641979281</v>
      </c>
      <c r="E144" s="339">
        <f t="shared" si="14"/>
        <v>0.87635019367105982</v>
      </c>
      <c r="F144" s="339">
        <f t="shared" si="14"/>
        <v>0.85</v>
      </c>
      <c r="G144" s="339">
        <f t="shared" si="14"/>
        <v>0.81749197231400805</v>
      </c>
      <c r="H144" s="339">
        <f t="shared" si="14"/>
        <v>0.78580555732174806</v>
      </c>
      <c r="I144" s="339">
        <f t="shared" si="14"/>
        <v>0.75490999539404435</v>
      </c>
      <c r="J144" s="339">
        <f t="shared" si="14"/>
        <v>0.72477604341984114</v>
      </c>
    </row>
    <row r="145" spans="1:10">
      <c r="A145" s="280" t="s">
        <v>179</v>
      </c>
      <c r="B145" s="281">
        <f>1</f>
        <v>1</v>
      </c>
      <c r="C145" s="281">
        <f>1</f>
        <v>1</v>
      </c>
      <c r="D145" s="339">
        <f t="shared" si="14"/>
        <v>1.3355772864931201</v>
      </c>
      <c r="E145" s="339">
        <f t="shared" si="14"/>
        <v>1.9743952480088818</v>
      </c>
      <c r="F145" s="339">
        <f t="shared" si="14"/>
        <v>2.5499999999999998</v>
      </c>
      <c r="G145" s="339">
        <f t="shared" si="14"/>
        <v>2.4817502199013521</v>
      </c>
      <c r="H145" s="339">
        <f t="shared" si="14"/>
        <v>2.4166332232040584</v>
      </c>
      <c r="I145" s="339">
        <f t="shared" si="14"/>
        <v>2.3544381490519539</v>
      </c>
      <c r="J145" s="339">
        <f t="shared" si="14"/>
        <v>2.2949726447891354</v>
      </c>
    </row>
    <row r="146" spans="1:10">
      <c r="A146" s="280" t="s">
        <v>35</v>
      </c>
      <c r="B146" s="281">
        <f>1</f>
        <v>1</v>
      </c>
      <c r="C146" s="281">
        <f>1</f>
        <v>1</v>
      </c>
      <c r="D146" s="339">
        <f t="shared" si="14"/>
        <v>0.81288903899767617</v>
      </c>
      <c r="E146" s="339">
        <f t="shared" si="14"/>
        <v>0.70801935862231835</v>
      </c>
      <c r="F146" s="339">
        <f t="shared" si="14"/>
        <v>0.62352984555887292</v>
      </c>
      <c r="G146" s="339">
        <f t="shared" si="14"/>
        <v>0.60720013795051142</v>
      </c>
      <c r="H146" s="339">
        <f t="shared" si="14"/>
        <v>0.59137324797964141</v>
      </c>
      <c r="I146" s="339">
        <f t="shared" si="14"/>
        <v>0.57602630394359267</v>
      </c>
      <c r="J146" s="339">
        <f t="shared" si="14"/>
        <v>0.561137800577034</v>
      </c>
    </row>
    <row r="147" spans="1:10" ht="13.5" thickBot="1">
      <c r="A147" s="305" t="s">
        <v>36</v>
      </c>
      <c r="B147" s="306">
        <f>1</f>
        <v>1</v>
      </c>
      <c r="C147" s="306">
        <f>1</f>
        <v>1</v>
      </c>
      <c r="D147" s="339">
        <f t="shared" si="14"/>
        <v>1.1673464687931743</v>
      </c>
      <c r="E147" s="339">
        <f t="shared" si="14"/>
        <v>1.203836641142922</v>
      </c>
      <c r="F147" s="339">
        <f t="shared" si="14"/>
        <v>1.2398093440763636</v>
      </c>
      <c r="G147" s="339">
        <f t="shared" si="14"/>
        <v>1.2073398091806682</v>
      </c>
      <c r="H147" s="339">
        <f t="shared" si="14"/>
        <v>1.1758700628432406</v>
      </c>
      <c r="I147" s="339">
        <f t="shared" si="14"/>
        <v>1.1453546276087714</v>
      </c>
      <c r="J147" s="339">
        <f t="shared" si="14"/>
        <v>1.1157507430078233</v>
      </c>
    </row>
    <row r="148" spans="1:10" ht="13.5" thickBot="1">
      <c r="A148" s="305" t="s">
        <v>182</v>
      </c>
      <c r="B148" s="306">
        <v>1</v>
      </c>
      <c r="C148" s="340">
        <f>C131/$B131</f>
        <v>1.0580027403447483</v>
      </c>
      <c r="D148" s="340">
        <f t="shared" ref="D148:J148" si="15">D131/$B131</f>
        <v>1.1160054806894968</v>
      </c>
      <c r="E148" s="340">
        <f t="shared" si="15"/>
        <v>1.0883804039102276</v>
      </c>
      <c r="F148" s="340">
        <f t="shared" si="15"/>
        <v>1.0607553271309584</v>
      </c>
      <c r="G148" s="340">
        <f t="shared" si="15"/>
        <v>1.0597130914762438</v>
      </c>
      <c r="H148" s="340">
        <f t="shared" si="15"/>
        <v>1.058670855821529</v>
      </c>
      <c r="I148" s="340">
        <f t="shared" si="15"/>
        <v>1.0576286201668144</v>
      </c>
      <c r="J148" s="340">
        <f t="shared" si="15"/>
        <v>1.0565863845120997</v>
      </c>
    </row>
    <row r="150" spans="1:10">
      <c r="A150" s="942" t="s">
        <v>452</v>
      </c>
    </row>
    <row r="151" spans="1:10">
      <c r="B151" s="331">
        <v>2010</v>
      </c>
      <c r="C151" s="331">
        <v>2015</v>
      </c>
      <c r="D151" s="331">
        <v>2020</v>
      </c>
      <c r="E151" s="331">
        <v>2025</v>
      </c>
      <c r="F151" s="331">
        <v>2030</v>
      </c>
    </row>
    <row r="152" spans="1:10">
      <c r="A152" s="942" t="s">
        <v>447</v>
      </c>
      <c r="B152" s="944">
        <f>SUM(B97:B98)/SUM(B96:B98)</f>
        <v>0.28141154386574807</v>
      </c>
      <c r="C152" s="944">
        <f>SUM(C97:C98)/SUM(C96:C98)</f>
        <v>0.26616750422759317</v>
      </c>
      <c r="D152" s="944">
        <f>SUM(D97:D98)/SUM(D96:D98)</f>
        <v>0.2540404119998611</v>
      </c>
      <c r="E152" s="944">
        <f>SUM(E97:E98)/SUM(E96:E98)</f>
        <v>0.23968726548569075</v>
      </c>
      <c r="F152" s="944">
        <f>SUM(F97:F98)/SUM(F96:F98)</f>
        <v>0.22672811059907833</v>
      </c>
    </row>
    <row r="153" spans="1:10">
      <c r="A153" s="942" t="s">
        <v>448</v>
      </c>
      <c r="B153" s="944">
        <f>SUM(B113:B114)/SUM(B112:B114)</f>
        <v>0.28141154386574807</v>
      </c>
      <c r="C153" s="944">
        <f>SUM(C113:C114)/SUM(C112:C114)</f>
        <v>0.27759430685176989</v>
      </c>
      <c r="D153" s="944">
        <f>SUM(D113:D114)/SUM(D112:D114)</f>
        <v>0.27429759174311924</v>
      </c>
      <c r="E153" s="944">
        <f>SUM(E113:E114)/SUM(E112:E114)</f>
        <v>0.25951513641118962</v>
      </c>
      <c r="F153" s="944">
        <f>SUM(F113:F114)/SUM(F112:F114)</f>
        <v>0.24633358907640363</v>
      </c>
    </row>
    <row r="154" spans="1:10">
      <c r="A154" s="942" t="s">
        <v>449</v>
      </c>
      <c r="B154" s="944">
        <f>SUM(B132:B133)/SUM(B131:B133)</f>
        <v>0.28141154386574807</v>
      </c>
      <c r="C154" s="944">
        <f>SUM(C132:C133)/SUM(C131:C133)</f>
        <v>0.28368729892642219</v>
      </c>
      <c r="D154" s="944">
        <f>SUM(D132:D133)/SUM(D131:D133)</f>
        <v>0.2857142857142857</v>
      </c>
      <c r="E154" s="944">
        <f>SUM(E132:E133)/SUM(E131:E133)</f>
        <v>0.31884439221794275</v>
      </c>
      <c r="F154" s="944">
        <f>SUM(F132:F133)/SUM(F131:F133)</f>
        <v>0.35053688950467615</v>
      </c>
    </row>
    <row r="160" spans="1:10">
      <c r="A160" s="942" t="s">
        <v>453</v>
      </c>
    </row>
  </sheetData>
  <mergeCells count="1">
    <mergeCell ref="N3:Q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L195"/>
  <sheetViews>
    <sheetView zoomScaleNormal="100" zoomScalePageLayoutView="75" workbookViewId="0">
      <pane xSplit="2" ySplit="4" topLeftCell="N44" activePane="bottomRight" state="frozen"/>
      <selection activeCell="T13" sqref="T13:U13"/>
      <selection pane="topRight" activeCell="T13" sqref="T13:U13"/>
      <selection pane="bottomLeft" activeCell="T13" sqref="T13:U13"/>
      <selection pane="bottomRight" activeCell="J63" sqref="J63"/>
    </sheetView>
  </sheetViews>
  <sheetFormatPr defaultColWidth="8.85546875" defaultRowHeight="15"/>
  <cols>
    <col min="1" max="1" width="1.42578125" style="125" customWidth="1"/>
    <col min="2" max="2" width="40.28515625" style="125" customWidth="1"/>
    <col min="3" max="3" width="7.140625" style="686" customWidth="1"/>
    <col min="4" max="4" width="10" style="125" customWidth="1"/>
    <col min="5" max="9" width="11" style="125" customWidth="1"/>
    <col min="10" max="14" width="14.42578125" style="125" customWidth="1"/>
    <col min="15" max="15" width="10.85546875" style="125" bestFit="1" customWidth="1"/>
    <col min="16" max="19" width="10.85546875" style="125" customWidth="1"/>
    <col min="20" max="20" width="11.28515625" style="125" customWidth="1"/>
    <col min="21" max="21" width="10.85546875" style="125" bestFit="1" customWidth="1"/>
    <col min="22" max="22" width="11.42578125" style="724" bestFit="1" customWidth="1"/>
    <col min="23" max="24" width="10.85546875" style="724" bestFit="1" customWidth="1"/>
    <col min="25" max="25" width="9" style="125" customWidth="1"/>
    <col min="26" max="26" width="10.42578125" style="125" bestFit="1" customWidth="1"/>
    <col min="27" max="16384" width="8.85546875" style="125"/>
  </cols>
  <sheetData>
    <row r="1" spans="1:38">
      <c r="B1" s="464"/>
    </row>
    <row r="2" spans="1:38">
      <c r="B2" s="465" t="s">
        <v>73</v>
      </c>
    </row>
    <row r="3" spans="1:38" ht="15.75" thickBot="1">
      <c r="B3" s="464"/>
      <c r="C3" s="687"/>
    </row>
    <row r="4" spans="1:38" ht="15.75" thickBot="1">
      <c r="B4" s="126"/>
      <c r="C4" s="688" t="s">
        <v>55</v>
      </c>
      <c r="D4" s="667">
        <v>2010</v>
      </c>
      <c r="E4" s="667">
        <v>2015</v>
      </c>
      <c r="F4" s="667">
        <v>2016</v>
      </c>
      <c r="G4" s="667">
        <v>2017</v>
      </c>
      <c r="H4" s="667">
        <v>2018</v>
      </c>
      <c r="I4" s="667">
        <v>2019</v>
      </c>
      <c r="J4" s="667">
        <v>2020</v>
      </c>
      <c r="K4" s="667">
        <v>2021</v>
      </c>
      <c r="L4" s="667">
        <v>2022</v>
      </c>
      <c r="M4" s="667">
        <v>2023</v>
      </c>
      <c r="N4" s="667">
        <v>2024</v>
      </c>
      <c r="O4" s="667">
        <v>2025</v>
      </c>
      <c r="P4" s="667">
        <v>2026</v>
      </c>
      <c r="Q4" s="667">
        <v>2027</v>
      </c>
      <c r="R4" s="667">
        <v>2028</v>
      </c>
      <c r="S4" s="667">
        <v>2029</v>
      </c>
      <c r="T4" s="667">
        <v>2030</v>
      </c>
      <c r="U4" s="667">
        <v>2035</v>
      </c>
      <c r="V4" s="725">
        <v>2040</v>
      </c>
      <c r="W4" s="725">
        <v>2045</v>
      </c>
      <c r="X4" s="725">
        <v>2050</v>
      </c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8"/>
      <c r="AL4" s="669"/>
    </row>
    <row r="5" spans="1:38">
      <c r="A5" s="127"/>
      <c r="B5" s="428" t="s">
        <v>56</v>
      </c>
      <c r="C5" s="689" t="s">
        <v>21</v>
      </c>
      <c r="D5" s="655"/>
      <c r="E5" s="655"/>
      <c r="F5" s="655"/>
      <c r="G5" s="655"/>
      <c r="H5" s="655"/>
      <c r="I5" s="655"/>
      <c r="J5" s="662"/>
      <c r="K5" s="662"/>
      <c r="L5" s="662"/>
      <c r="M5" s="662"/>
      <c r="N5" s="662"/>
      <c r="O5" s="655"/>
      <c r="P5" s="655"/>
      <c r="Q5" s="655"/>
      <c r="R5" s="655"/>
      <c r="S5" s="655"/>
      <c r="T5" s="662"/>
      <c r="U5" s="655"/>
      <c r="V5" s="727"/>
      <c r="W5" s="727"/>
      <c r="X5" s="727"/>
      <c r="Y5" s="655"/>
      <c r="Z5" s="655"/>
      <c r="AA5" s="655"/>
      <c r="AB5" s="655"/>
      <c r="AC5" s="655"/>
      <c r="AD5" s="655"/>
      <c r="AE5" s="655"/>
      <c r="AF5" s="655"/>
      <c r="AG5" s="655"/>
      <c r="AH5" s="655"/>
      <c r="AI5" s="655"/>
      <c r="AJ5" s="655"/>
    </row>
    <row r="6" spans="1:38">
      <c r="A6" s="127"/>
      <c r="B6" s="134" t="s">
        <v>4</v>
      </c>
      <c r="C6" s="690"/>
      <c r="D6" s="155">
        <v>228</v>
      </c>
      <c r="E6" s="155">
        <f>AVERAGE(TransportBAU!D6,TransportBAU!J6)</f>
        <v>217.90365597825797</v>
      </c>
      <c r="F6" s="155">
        <f t="shared" ref="F6:I12" si="0">$E6+($J6-$E6)/5*(F$4-$E$4)</f>
        <v>212.51546077364176</v>
      </c>
      <c r="G6" s="155">
        <f t="shared" si="0"/>
        <v>207.12726556902558</v>
      </c>
      <c r="H6" s="155">
        <f t="shared" si="0"/>
        <v>201.73907036440937</v>
      </c>
      <c r="I6" s="155">
        <f t="shared" si="0"/>
        <v>196.35087515979319</v>
      </c>
      <c r="J6" s="187">
        <f>Transpordi_kytused_maksud2020!C$60</f>
        <v>190.96267995517698</v>
      </c>
      <c r="K6" s="156">
        <f t="shared" ref="K6:N12" si="1">$J6+($O6-$J6)/5*(K$4-$J$4)</f>
        <v>220.07264420850336</v>
      </c>
      <c r="L6" s="156">
        <f t="shared" si="1"/>
        <v>249.18260846182972</v>
      </c>
      <c r="M6" s="156">
        <f t="shared" si="1"/>
        <v>278.2925727151561</v>
      </c>
      <c r="N6" s="156">
        <f t="shared" si="1"/>
        <v>307.40253696848248</v>
      </c>
      <c r="O6" s="155">
        <f t="shared" ref="O6:O13" si="2">AVERAGE(J6,T6)</f>
        <v>336.51250122180886</v>
      </c>
      <c r="P6" s="458">
        <f t="shared" ref="P6:S14" si="3">$O6+($T6-$O6)/5*(P$4-$O$4)</f>
        <v>365.62246547513524</v>
      </c>
      <c r="Q6" s="458">
        <f t="shared" si="3"/>
        <v>394.73242972846163</v>
      </c>
      <c r="R6" s="458">
        <f t="shared" si="3"/>
        <v>423.84239398178795</v>
      </c>
      <c r="S6" s="458">
        <f t="shared" si="3"/>
        <v>452.95235823511433</v>
      </c>
      <c r="T6" s="187">
        <f>Kytuste_hind_maksud2030!C61</f>
        <v>482.06232248844071</v>
      </c>
      <c r="U6" s="155">
        <f>AVERAGE(T6,V6)</f>
        <v>665.30614568210103</v>
      </c>
      <c r="V6" s="729">
        <f>AVERAGE(T6,X6)</f>
        <v>848.54996887576124</v>
      </c>
      <c r="W6" s="729">
        <f>AVERAGE(U6,X6)</f>
        <v>940.1718804725914</v>
      </c>
      <c r="X6" s="729">
        <f>Kytused2050!$C$62</f>
        <v>1215.0376152630818</v>
      </c>
      <c r="Y6" s="155"/>
      <c r="Z6" s="128"/>
      <c r="AA6" s="134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8">
      <c r="A7" s="127"/>
      <c r="B7" s="134" t="s">
        <v>5</v>
      </c>
      <c r="C7" s="690"/>
      <c r="D7" s="155">
        <v>10501.152590001275</v>
      </c>
      <c r="E7" s="155">
        <f t="shared" ref="E7:E13" si="4">AVERAGE(D7,J7)</f>
        <v>11429.577206539847</v>
      </c>
      <c r="F7" s="155">
        <f t="shared" si="0"/>
        <v>11615.262129847561</v>
      </c>
      <c r="G7" s="155">
        <f t="shared" si="0"/>
        <v>11800.947053155276</v>
      </c>
      <c r="H7" s="155">
        <f t="shared" si="0"/>
        <v>11986.63197646299</v>
      </c>
      <c r="I7" s="155">
        <f t="shared" si="0"/>
        <v>12172.316899770705</v>
      </c>
      <c r="J7" s="187">
        <f>Transpordi_kytused_maksud2020!D$60</f>
        <v>12358.001823078419</v>
      </c>
      <c r="K7" s="156">
        <f t="shared" si="1"/>
        <v>12204.56282866006</v>
      </c>
      <c r="L7" s="156">
        <f t="shared" si="1"/>
        <v>12051.123834241702</v>
      </c>
      <c r="M7" s="156">
        <f t="shared" si="1"/>
        <v>11897.684839823345</v>
      </c>
      <c r="N7" s="156">
        <f t="shared" si="1"/>
        <v>11744.245845404987</v>
      </c>
      <c r="O7" s="155">
        <f t="shared" si="2"/>
        <v>11590.806850986628</v>
      </c>
      <c r="P7" s="458">
        <f t="shared" si="3"/>
        <v>11437.367856568269</v>
      </c>
      <c r="Q7" s="458">
        <f t="shared" si="3"/>
        <v>11283.928862149913</v>
      </c>
      <c r="R7" s="458">
        <f t="shared" si="3"/>
        <v>11130.489867731554</v>
      </c>
      <c r="S7" s="458">
        <f t="shared" si="3"/>
        <v>10977.050873313197</v>
      </c>
      <c r="T7" s="187">
        <f>Kytuste_hind_maksud2030!D61</f>
        <v>10823.611878894839</v>
      </c>
      <c r="U7" s="155">
        <f t="shared" ref="U7:U12" si="5">AVERAGE(T7,V7)</f>
        <v>9635.9811546664787</v>
      </c>
      <c r="V7" s="729">
        <f t="shared" ref="V7:V12" si="6">AVERAGE(T7,X7)</f>
        <v>8448.3504304381167</v>
      </c>
      <c r="W7" s="729">
        <f t="shared" ref="W7:W12" si="7">AVERAGE(U7,X7)</f>
        <v>7854.5350683239358</v>
      </c>
      <c r="X7" s="729">
        <f>Kytused2050!$D$62</f>
        <v>6073.0889819813938</v>
      </c>
      <c r="Y7" s="155"/>
      <c r="Z7" s="128"/>
      <c r="AA7" s="134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8">
      <c r="A8" s="127"/>
      <c r="B8" s="134" t="s">
        <v>480</v>
      </c>
      <c r="C8" s="690"/>
      <c r="D8" s="155">
        <v>19156.987701494523</v>
      </c>
      <c r="E8" s="155">
        <f t="shared" si="4"/>
        <v>19075.567583884251</v>
      </c>
      <c r="F8" s="155">
        <f t="shared" si="0"/>
        <v>19059.283560362197</v>
      </c>
      <c r="G8" s="155">
        <f t="shared" si="0"/>
        <v>19042.999536840143</v>
      </c>
      <c r="H8" s="155">
        <f t="shared" si="0"/>
        <v>19026.71551331809</v>
      </c>
      <c r="I8" s="155">
        <f t="shared" si="0"/>
        <v>19010.431489796036</v>
      </c>
      <c r="J8" s="187">
        <f>Transpordi_kytused_maksud2020!E60</f>
        <v>18994.147466273982</v>
      </c>
      <c r="K8" s="156">
        <f t="shared" si="1"/>
        <v>19067.089457428166</v>
      </c>
      <c r="L8" s="156">
        <f t="shared" si="1"/>
        <v>19140.031448582351</v>
      </c>
      <c r="M8" s="156">
        <f t="shared" si="1"/>
        <v>19212.973439736532</v>
      </c>
      <c r="N8" s="156">
        <f t="shared" si="1"/>
        <v>19285.915430890716</v>
      </c>
      <c r="O8" s="155">
        <f t="shared" si="2"/>
        <v>19358.857422044901</v>
      </c>
      <c r="P8" s="458">
        <f t="shared" si="3"/>
        <v>19431.799413199085</v>
      </c>
      <c r="Q8" s="458">
        <f t="shared" si="3"/>
        <v>19504.741404353266</v>
      </c>
      <c r="R8" s="458">
        <f t="shared" si="3"/>
        <v>19577.683395507451</v>
      </c>
      <c r="S8" s="458">
        <f t="shared" si="3"/>
        <v>19650.625386661632</v>
      </c>
      <c r="T8" s="187">
        <f>Kytuste_hind_maksud2030!E61</f>
        <v>19723.567377815816</v>
      </c>
      <c r="U8" s="155">
        <f t="shared" si="5"/>
        <v>19278.218915204146</v>
      </c>
      <c r="V8" s="729">
        <f t="shared" si="6"/>
        <v>18832.87045259248</v>
      </c>
      <c r="W8" s="729">
        <f t="shared" si="7"/>
        <v>18610.196221286646</v>
      </c>
      <c r="X8" s="729">
        <f>Kytused2050!$E$62</f>
        <v>17942.173527369145</v>
      </c>
      <c r="Y8" s="155"/>
      <c r="Z8" s="128"/>
      <c r="AA8" s="134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8">
      <c r="A9" s="127"/>
      <c r="B9" s="134" t="s">
        <v>87</v>
      </c>
      <c r="C9" s="690"/>
      <c r="D9" s="155">
        <v>0</v>
      </c>
      <c r="E9" s="155">
        <f t="shared" si="4"/>
        <v>339.21154608061659</v>
      </c>
      <c r="F9" s="155">
        <f t="shared" si="0"/>
        <v>407.05385529673993</v>
      </c>
      <c r="G9" s="155">
        <f t="shared" si="0"/>
        <v>474.89616451286321</v>
      </c>
      <c r="H9" s="155">
        <f t="shared" si="0"/>
        <v>542.73847372898649</v>
      </c>
      <c r="I9" s="155">
        <f t="shared" si="0"/>
        <v>610.58078294510983</v>
      </c>
      <c r="J9" s="187">
        <f>Transpordi_kytused_maksud2020!F60</f>
        <v>678.42309216123317</v>
      </c>
      <c r="K9" s="156">
        <f t="shared" si="1"/>
        <v>896.10337801765377</v>
      </c>
      <c r="L9" s="156">
        <f t="shared" si="1"/>
        <v>1113.7836638740741</v>
      </c>
      <c r="M9" s="156">
        <f t="shared" si="1"/>
        <v>1331.4639497304947</v>
      </c>
      <c r="N9" s="156">
        <f t="shared" si="1"/>
        <v>1549.1442355869153</v>
      </c>
      <c r="O9" s="155">
        <f t="shared" si="2"/>
        <v>1766.8245214433359</v>
      </c>
      <c r="P9" s="458">
        <f t="shared" si="3"/>
        <v>1984.5048072997565</v>
      </c>
      <c r="Q9" s="458">
        <f t="shared" si="3"/>
        <v>2202.1850931561771</v>
      </c>
      <c r="R9" s="458">
        <f t="shared" si="3"/>
        <v>2419.8653790125973</v>
      </c>
      <c r="S9" s="458">
        <f t="shared" si="3"/>
        <v>2637.5456648690179</v>
      </c>
      <c r="T9" s="187">
        <f>Kytuste_hind_maksud2030!F61</f>
        <v>2855.2259507254385</v>
      </c>
      <c r="U9" s="155">
        <f t="shared" si="5"/>
        <v>2870.3633311232197</v>
      </c>
      <c r="V9" s="729">
        <f t="shared" si="6"/>
        <v>2885.500711521001</v>
      </c>
      <c r="W9" s="729">
        <f t="shared" si="7"/>
        <v>2893.0694017198916</v>
      </c>
      <c r="X9" s="729">
        <f>Kytused2050!$F$62</f>
        <v>2915.7754723165635</v>
      </c>
      <c r="Y9" s="155"/>
      <c r="Z9" s="128"/>
      <c r="AA9" s="134"/>
      <c r="AB9" s="158"/>
      <c r="AC9" s="158"/>
      <c r="AD9" s="158"/>
      <c r="AE9" s="158"/>
      <c r="AF9" s="158"/>
      <c r="AG9" s="158"/>
      <c r="AH9" s="158"/>
      <c r="AI9" s="158"/>
      <c r="AJ9" s="158"/>
    </row>
    <row r="10" spans="1:38">
      <c r="A10" s="127"/>
      <c r="B10" s="134" t="s">
        <v>8</v>
      </c>
      <c r="C10" s="690"/>
      <c r="D10" s="155">
        <v>0</v>
      </c>
      <c r="E10" s="155">
        <f t="shared" si="4"/>
        <v>588.47627728944849</v>
      </c>
      <c r="F10" s="155">
        <f t="shared" si="0"/>
        <v>706.17153274733823</v>
      </c>
      <c r="G10" s="155">
        <f t="shared" si="0"/>
        <v>823.86678820522786</v>
      </c>
      <c r="H10" s="155">
        <f t="shared" si="0"/>
        <v>941.56204366311761</v>
      </c>
      <c r="I10" s="155">
        <f t="shared" si="0"/>
        <v>1059.2572991210072</v>
      </c>
      <c r="J10" s="187">
        <f>Transpordi_kytused_maksud2020!G60</f>
        <v>1176.952554578897</v>
      </c>
      <c r="K10" s="156">
        <f t="shared" si="1"/>
        <v>1167.4934179099557</v>
      </c>
      <c r="L10" s="156">
        <f t="shared" si="1"/>
        <v>1158.0342812410145</v>
      </c>
      <c r="M10" s="156">
        <f t="shared" si="1"/>
        <v>1148.575144572073</v>
      </c>
      <c r="N10" s="156">
        <f t="shared" si="1"/>
        <v>1139.1160079031317</v>
      </c>
      <c r="O10" s="155">
        <f t="shared" si="2"/>
        <v>1129.6568712341905</v>
      </c>
      <c r="P10" s="458">
        <f t="shared" si="3"/>
        <v>1120.1977345652492</v>
      </c>
      <c r="Q10" s="458">
        <f t="shared" si="3"/>
        <v>1110.7385978963077</v>
      </c>
      <c r="R10" s="458">
        <f t="shared" si="3"/>
        <v>1101.2794612273665</v>
      </c>
      <c r="S10" s="458">
        <f t="shared" si="3"/>
        <v>1091.820324558425</v>
      </c>
      <c r="T10" s="187">
        <f>Kytuste_hind_maksud2030!G61</f>
        <v>1082.3611878894837</v>
      </c>
      <c r="U10" s="155">
        <f t="shared" si="5"/>
        <v>985.28771897372405</v>
      </c>
      <c r="V10" s="729">
        <f t="shared" si="6"/>
        <v>888.21425005796436</v>
      </c>
      <c r="W10" s="729">
        <f t="shared" si="7"/>
        <v>839.67751560008458</v>
      </c>
      <c r="X10" s="729">
        <f>Kytused2050!$G$62</f>
        <v>694.0673122264451</v>
      </c>
      <c r="Y10" s="155"/>
      <c r="Z10" s="128"/>
      <c r="AA10" s="134"/>
      <c r="AB10" s="158"/>
      <c r="AC10" s="158"/>
      <c r="AD10" s="158"/>
      <c r="AE10" s="158"/>
      <c r="AF10" s="158"/>
      <c r="AG10" s="158"/>
      <c r="AH10" s="158"/>
      <c r="AI10" s="158"/>
      <c r="AJ10" s="158"/>
    </row>
    <row r="11" spans="1:38">
      <c r="B11" s="134" t="s">
        <v>9</v>
      </c>
      <c r="C11" s="690"/>
      <c r="D11" s="155">
        <v>0</v>
      </c>
      <c r="E11" s="155">
        <f t="shared" si="4"/>
        <v>408.44386006507523</v>
      </c>
      <c r="F11" s="155">
        <f t="shared" si="0"/>
        <v>490.1326320780903</v>
      </c>
      <c r="G11" s="155">
        <f t="shared" si="0"/>
        <v>571.82140409110525</v>
      </c>
      <c r="H11" s="155">
        <f t="shared" si="0"/>
        <v>653.51017610412032</v>
      </c>
      <c r="I11" s="155">
        <f t="shared" si="0"/>
        <v>735.19894811713539</v>
      </c>
      <c r="J11" s="187">
        <f>Transpordi_kytused_maksud2020!H60</f>
        <v>816.88772013015046</v>
      </c>
      <c r="K11" s="156">
        <f t="shared" si="1"/>
        <v>747.36416613541951</v>
      </c>
      <c r="L11" s="156">
        <f t="shared" si="1"/>
        <v>677.84061214068856</v>
      </c>
      <c r="M11" s="156">
        <f t="shared" si="1"/>
        <v>608.31705814595762</v>
      </c>
      <c r="N11" s="156">
        <f t="shared" si="1"/>
        <v>538.79350415122667</v>
      </c>
      <c r="O11" s="155">
        <f t="shared" si="2"/>
        <v>469.26995015649578</v>
      </c>
      <c r="P11" s="458">
        <f t="shared" si="3"/>
        <v>399.74639616176484</v>
      </c>
      <c r="Q11" s="458">
        <f t="shared" si="3"/>
        <v>330.22284216703395</v>
      </c>
      <c r="R11" s="458">
        <f t="shared" si="3"/>
        <v>260.699288172303</v>
      </c>
      <c r="S11" s="458">
        <f t="shared" si="3"/>
        <v>191.17573417757205</v>
      </c>
      <c r="T11" s="187">
        <f>Kytuste_hind_maksud2030!H61</f>
        <v>121.65218018284112</v>
      </c>
      <c r="U11" s="155">
        <f t="shared" si="5"/>
        <v>91.239135137130845</v>
      </c>
      <c r="V11" s="729">
        <f t="shared" si="6"/>
        <v>60.826090091420561</v>
      </c>
      <c r="W11" s="729">
        <f t="shared" si="7"/>
        <v>45.619567568565422</v>
      </c>
      <c r="X11" s="729">
        <f>Kytused2050!$H$62</f>
        <v>0</v>
      </c>
      <c r="Y11" s="155"/>
      <c r="Z11" s="128"/>
      <c r="AA11" s="134"/>
      <c r="AB11" s="158"/>
      <c r="AC11" s="158"/>
      <c r="AD11" s="158"/>
      <c r="AE11" s="158"/>
      <c r="AF11" s="158"/>
      <c r="AG11" s="158"/>
      <c r="AH11" s="158"/>
      <c r="AI11" s="158"/>
      <c r="AJ11" s="158"/>
    </row>
    <row r="12" spans="1:38">
      <c r="B12" s="134" t="s">
        <v>10</v>
      </c>
      <c r="C12" s="690"/>
      <c r="D12" s="155">
        <v>0</v>
      </c>
      <c r="E12" s="155">
        <f t="shared" si="4"/>
        <v>634.21101468713482</v>
      </c>
      <c r="F12" s="155">
        <f t="shared" si="0"/>
        <v>761.05321762456174</v>
      </c>
      <c r="G12" s="155">
        <f t="shared" si="0"/>
        <v>887.89542056198877</v>
      </c>
      <c r="H12" s="155">
        <f t="shared" si="0"/>
        <v>1014.7376234994157</v>
      </c>
      <c r="I12" s="155">
        <f t="shared" si="0"/>
        <v>1141.5798264368427</v>
      </c>
      <c r="J12" s="187">
        <f>Transpordi_kytused_maksud2020!I60</f>
        <v>1268.4220293742696</v>
      </c>
      <c r="K12" s="156">
        <f t="shared" si="1"/>
        <v>1642.4420668819714</v>
      </c>
      <c r="L12" s="156">
        <f t="shared" si="1"/>
        <v>2016.4621043896732</v>
      </c>
      <c r="M12" s="156">
        <f t="shared" si="1"/>
        <v>2390.4821418973747</v>
      </c>
      <c r="N12" s="156">
        <f t="shared" si="1"/>
        <v>2764.5021794050763</v>
      </c>
      <c r="O12" s="155">
        <f t="shared" si="2"/>
        <v>3138.5222169127783</v>
      </c>
      <c r="P12" s="458">
        <f t="shared" si="3"/>
        <v>3512.5422544204803</v>
      </c>
      <c r="Q12" s="458">
        <f t="shared" si="3"/>
        <v>3886.5622919281818</v>
      </c>
      <c r="R12" s="458">
        <f t="shared" si="3"/>
        <v>4260.5823294358834</v>
      </c>
      <c r="S12" s="458">
        <f t="shared" si="3"/>
        <v>4634.6023669435854</v>
      </c>
      <c r="T12" s="187">
        <f>Kytuste_hind_maksud2030!I61</f>
        <v>5008.6224044512874</v>
      </c>
      <c r="U12" s="155">
        <f t="shared" si="5"/>
        <v>5131.1361718072931</v>
      </c>
      <c r="V12" s="729">
        <f t="shared" si="6"/>
        <v>5253.6499391632979</v>
      </c>
      <c r="W12" s="729">
        <f t="shared" si="7"/>
        <v>5314.9068228413007</v>
      </c>
      <c r="X12" s="729">
        <f>Kytused2050!$I$62</f>
        <v>5498.6774738753084</v>
      </c>
      <c r="Y12" s="155"/>
      <c r="Z12" s="128"/>
      <c r="AA12" s="134"/>
      <c r="AB12" s="158"/>
      <c r="AC12" s="158"/>
      <c r="AD12" s="158"/>
      <c r="AE12" s="158"/>
      <c r="AF12" s="158"/>
      <c r="AG12" s="158"/>
      <c r="AH12" s="158"/>
      <c r="AI12" s="158"/>
      <c r="AJ12" s="158"/>
    </row>
    <row r="13" spans="1:38" s="135" customFormat="1">
      <c r="B13" s="443" t="s">
        <v>19</v>
      </c>
      <c r="C13" s="691"/>
      <c r="D13" s="444">
        <f>SUM(D6:D12)</f>
        <v>29886.140291495798</v>
      </c>
      <c r="E13" s="155">
        <f t="shared" si="4"/>
        <v>32684.968828523961</v>
      </c>
      <c r="F13" s="444">
        <f t="shared" ref="F13:N13" si="8">SUM(F6:F12)</f>
        <v>33251.47238873013</v>
      </c>
      <c r="G13" s="444">
        <f t="shared" si="8"/>
        <v>33809.553632935633</v>
      </c>
      <c r="H13" s="444">
        <f t="shared" si="8"/>
        <v>34367.634877141129</v>
      </c>
      <c r="I13" s="444">
        <f t="shared" si="8"/>
        <v>34925.716121346624</v>
      </c>
      <c r="J13" s="445">
        <f t="shared" si="8"/>
        <v>35483.797365552127</v>
      </c>
      <c r="K13" s="156">
        <f t="shared" si="8"/>
        <v>35945.127959241734</v>
      </c>
      <c r="L13" s="156">
        <f t="shared" si="8"/>
        <v>36406.458552931334</v>
      </c>
      <c r="M13" s="156">
        <f t="shared" si="8"/>
        <v>36867.789146620933</v>
      </c>
      <c r="N13" s="156">
        <f t="shared" si="8"/>
        <v>37329.119740310533</v>
      </c>
      <c r="O13" s="444">
        <f t="shared" si="2"/>
        <v>37790.450334000132</v>
      </c>
      <c r="P13" s="458">
        <f t="shared" si="3"/>
        <v>38251.780927689731</v>
      </c>
      <c r="Q13" s="458">
        <f t="shared" si="3"/>
        <v>38713.111521379331</v>
      </c>
      <c r="R13" s="458">
        <f t="shared" si="3"/>
        <v>39174.442115068938</v>
      </c>
      <c r="S13" s="458">
        <f t="shared" si="3"/>
        <v>39635.772708758537</v>
      </c>
      <c r="T13" s="445">
        <f>SUM(T6:T12)</f>
        <v>40097.103302448137</v>
      </c>
      <c r="U13" s="444">
        <f>SUM(U6:U12)</f>
        <v>38657.5325725941</v>
      </c>
      <c r="V13" s="747">
        <f>SUM(V6:V12)</f>
        <v>37217.961842740049</v>
      </c>
      <c r="W13" s="747">
        <f>SUM(W6:W12)</f>
        <v>36498.176477813016</v>
      </c>
      <c r="X13" s="747">
        <f>SUM(X6:X12)</f>
        <v>34338.82038303194</v>
      </c>
      <c r="Y13" s="444"/>
      <c r="Z13" s="446" t="s">
        <v>86</v>
      </c>
      <c r="AA13" s="446"/>
      <c r="AB13" s="447">
        <f>D13*0.023884</f>
        <v>713.80057472208557</v>
      </c>
      <c r="AC13" s="447">
        <f>E13*0.023884</f>
        <v>780.64779550046626</v>
      </c>
      <c r="AD13" s="447">
        <f>J13*0.023884</f>
        <v>847.49501627884695</v>
      </c>
      <c r="AE13" s="447">
        <f>O13*0.023884</f>
        <v>902.5871157772591</v>
      </c>
      <c r="AF13" s="447">
        <f>T13*0.023884</f>
        <v>957.67921527567125</v>
      </c>
      <c r="AG13" s="447">
        <f>U13*0.023884</f>
        <v>923.29650796383748</v>
      </c>
      <c r="AH13" s="447">
        <f>V13*0.023884</f>
        <v>888.91380065200326</v>
      </c>
      <c r="AI13" s="447">
        <f>W13*0.023884</f>
        <v>871.72244699608609</v>
      </c>
      <c r="AJ13" s="447">
        <f>X13*0.023884</f>
        <v>820.14838602833481</v>
      </c>
    </row>
    <row r="14" spans="1:38" s="184" customFormat="1" ht="15.75" thickBot="1">
      <c r="A14" s="433"/>
      <c r="B14" s="438" t="s">
        <v>67</v>
      </c>
      <c r="C14" s="692" t="s">
        <v>132</v>
      </c>
      <c r="D14" s="652">
        <v>2248000</v>
      </c>
      <c r="E14" s="652">
        <f>(SUM(E7:E8)*$AF$14)+(E9*$AG$14)</f>
        <v>2215366.2714910498</v>
      </c>
      <c r="F14" s="155">
        <f>$E14+($J14-$E14)/5*(F$4-$E$4)</f>
        <v>2231362.3055917202</v>
      </c>
      <c r="G14" s="155">
        <f>$E14+($J14-$E14)/5*(G$4-$E$4)</f>
        <v>2247358.3396923905</v>
      </c>
      <c r="H14" s="155">
        <f>$E14+($J14-$E14)/5*(H$4-$E$4)</f>
        <v>2263354.3737930609</v>
      </c>
      <c r="I14" s="155">
        <f>$E14+($J14-$E14)/5*(I$4-$E$4)</f>
        <v>2279350.4078937313</v>
      </c>
      <c r="J14" s="652">
        <f>(SUM(J7:J8)*$AF$14)+(J9*$AG$14)</f>
        <v>2295346.4419944016</v>
      </c>
      <c r="K14" s="156">
        <f>$J14+($O14-$J14)/5*(K$4-$J$4)</f>
        <v>2301740.7537673404</v>
      </c>
      <c r="L14" s="156">
        <f>$J14+($O14-$J14)/5*(L$4-$J$4)</f>
        <v>2308135.0655402797</v>
      </c>
      <c r="M14" s="156">
        <f>$J14+($O14-$J14)/5*(M$4-$J$4)</f>
        <v>2314529.3773132185</v>
      </c>
      <c r="N14" s="156">
        <f>$J14+($O14-$J14)/5*(N$4-$J$4)</f>
        <v>2320923.6890861578</v>
      </c>
      <c r="O14" s="652">
        <f>(SUM(O7:O8)*$AF$14)+(O9*$AG$14)</f>
        <v>2327318.0008590966</v>
      </c>
      <c r="P14" s="652">
        <f t="shared" si="3"/>
        <v>2333712.3126320355</v>
      </c>
      <c r="Q14" s="652">
        <f t="shared" si="3"/>
        <v>2340106.6244049743</v>
      </c>
      <c r="R14" s="652">
        <f t="shared" si="3"/>
        <v>2346500.9361779136</v>
      </c>
      <c r="S14" s="652">
        <f t="shared" si="3"/>
        <v>2352895.2479508524</v>
      </c>
      <c r="T14" s="652">
        <f>(SUM(T7:T8)*$AF$14)+(T9*$AG$14)</f>
        <v>2359289.5597237912</v>
      </c>
      <c r="U14" s="652">
        <f>AVERAGE(T14,V14)</f>
        <v>2242562.751573585</v>
      </c>
      <c r="V14" s="733">
        <f>AVERAGE(T14,X14)</f>
        <v>2125835.9434233787</v>
      </c>
      <c r="W14" s="733">
        <f>AVERAGE(V14,X14)</f>
        <v>2009109.1352731725</v>
      </c>
      <c r="X14" s="733">
        <f>(SUM(X7:X8)*$AF$14)+(X9*$AG$14)</f>
        <v>1892382.3271229663</v>
      </c>
      <c r="Y14" s="434"/>
      <c r="Z14" s="931" t="s">
        <v>427</v>
      </c>
      <c r="AE14" s="435" t="s">
        <v>72</v>
      </c>
      <c r="AF14" s="436">
        <v>72</v>
      </c>
      <c r="AG14" s="930">
        <v>56</v>
      </c>
      <c r="AH14" s="931" t="s">
        <v>7</v>
      </c>
    </row>
    <row r="15" spans="1:38" s="453" customFormat="1" ht="15.75" thickBot="1">
      <c r="A15" s="448"/>
      <c r="B15" s="449" t="s">
        <v>70</v>
      </c>
      <c r="C15" s="693">
        <v>1000</v>
      </c>
      <c r="D15" s="660">
        <v>2010</v>
      </c>
      <c r="E15" s="660">
        <v>2015</v>
      </c>
      <c r="F15" s="660"/>
      <c r="G15" s="660"/>
      <c r="H15" s="660"/>
      <c r="I15" s="660"/>
      <c r="J15" s="660">
        <v>2020</v>
      </c>
      <c r="K15" s="660"/>
      <c r="L15" s="660"/>
      <c r="M15" s="660"/>
      <c r="N15" s="660"/>
      <c r="O15" s="660">
        <v>2025</v>
      </c>
      <c r="P15" s="660"/>
      <c r="Q15" s="660"/>
      <c r="R15" s="660"/>
      <c r="S15" s="660"/>
      <c r="T15" s="660">
        <v>2030</v>
      </c>
      <c r="U15" s="660">
        <v>2035</v>
      </c>
      <c r="V15" s="734">
        <v>2040</v>
      </c>
      <c r="W15" s="734">
        <v>2045</v>
      </c>
      <c r="X15" s="734">
        <v>2050</v>
      </c>
      <c r="Y15" s="450"/>
      <c r="Z15" s="451"/>
      <c r="AA15" s="451"/>
      <c r="AB15" s="452"/>
      <c r="AE15" s="452"/>
    </row>
    <row r="16" spans="1:38" s="184" customFormat="1">
      <c r="A16" s="433"/>
      <c r="B16" s="656" t="s">
        <v>57</v>
      </c>
      <c r="C16" s="694"/>
      <c r="D16" s="657"/>
      <c r="E16" s="657"/>
      <c r="F16" s="657"/>
      <c r="G16" s="657"/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  <c r="T16" s="657"/>
      <c r="U16" s="657"/>
      <c r="V16" s="735"/>
      <c r="W16" s="735"/>
      <c r="X16" s="735"/>
      <c r="Y16" s="658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</row>
    <row r="17" spans="1:37">
      <c r="A17" s="127"/>
      <c r="B17" s="134" t="s">
        <v>4</v>
      </c>
      <c r="C17" s="690"/>
      <c r="D17" s="155">
        <v>5356.6697057196725</v>
      </c>
      <c r="E17" s="155">
        <f t="shared" ref="E17:E23" si="9">AVERAGE(D17,J17)</f>
        <v>6094.4376962663819</v>
      </c>
      <c r="F17" s="155">
        <f t="shared" ref="F17:I23" si="10">$E17+($J17-$E17)/5*(F$4-$E$4)</f>
        <v>6241.9912943757236</v>
      </c>
      <c r="G17" s="155">
        <f t="shared" si="10"/>
        <v>6389.5448924850652</v>
      </c>
      <c r="H17" s="155">
        <f t="shared" si="10"/>
        <v>6537.0984905944078</v>
      </c>
      <c r="I17" s="155">
        <f t="shared" si="10"/>
        <v>6684.6520887037495</v>
      </c>
      <c r="J17" s="187">
        <f>Transpordi_kytused_maksud2020!M60</f>
        <v>6832.2056868130912</v>
      </c>
      <c r="K17" s="156">
        <f t="shared" ref="K17:N29" si="11">$J17+($O17-$J17)/5*(K$4-$J$4)</f>
        <v>7822.668834126499</v>
      </c>
      <c r="L17" s="156">
        <f t="shared" si="11"/>
        <v>8813.1319814399067</v>
      </c>
      <c r="M17" s="156">
        <f t="shared" si="11"/>
        <v>9803.5951287533153</v>
      </c>
      <c r="N17" s="156">
        <f t="shared" si="11"/>
        <v>10794.058276066724</v>
      </c>
      <c r="O17" s="155">
        <f t="shared" ref="O17:O28" si="12">AVERAGE(J17,T17)</f>
        <v>11784.521423380131</v>
      </c>
      <c r="P17" s="458">
        <f t="shared" ref="P17:S29" si="13">$O17+($T17-$O17)/5*(P$4-$O$4)</f>
        <v>12774.984570693539</v>
      </c>
      <c r="Q17" s="458">
        <f t="shared" si="13"/>
        <v>13765.447718006948</v>
      </c>
      <c r="R17" s="458">
        <f t="shared" si="13"/>
        <v>14755.910865320355</v>
      </c>
      <c r="S17" s="458">
        <f t="shared" si="13"/>
        <v>15746.374012633763</v>
      </c>
      <c r="T17" s="187">
        <f>Kytuste_hind_maksud2030!$M$61</f>
        <v>16736.837159947172</v>
      </c>
      <c r="U17" s="155">
        <f t="shared" ref="U17:U27" si="14">AVERAGE(T17,V17)</f>
        <v>12552.627869960379</v>
      </c>
      <c r="V17" s="729">
        <f t="shared" ref="V17:V23" si="15">AVERAGE(T17,X17)</f>
        <v>8368.418579973586</v>
      </c>
      <c r="W17" s="729">
        <f t="shared" ref="W17:W23" si="16">AVERAGE(U17,X17)</f>
        <v>6276.3139349801895</v>
      </c>
      <c r="X17" s="729">
        <f>Kytused2050!M62</f>
        <v>0</v>
      </c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</row>
    <row r="18" spans="1:37">
      <c r="A18" s="127"/>
      <c r="B18" s="134" t="s">
        <v>5</v>
      </c>
      <c r="C18" s="690"/>
      <c r="D18" s="155">
        <v>195591.64326990649</v>
      </c>
      <c r="E18" s="155">
        <f t="shared" si="9"/>
        <v>217107.65827144211</v>
      </c>
      <c r="F18" s="155">
        <f t="shared" si="10"/>
        <v>221410.86127174922</v>
      </c>
      <c r="G18" s="155">
        <f t="shared" si="10"/>
        <v>225714.06427205633</v>
      </c>
      <c r="H18" s="155">
        <f t="shared" si="10"/>
        <v>230017.26727236348</v>
      </c>
      <c r="I18" s="155">
        <f t="shared" si="10"/>
        <v>234320.47027267059</v>
      </c>
      <c r="J18" s="187">
        <f>Transpordi_kytused_maksud2020!$N$56</f>
        <v>238623.6732729777</v>
      </c>
      <c r="K18" s="156">
        <f t="shared" si="11"/>
        <v>237140.49830550546</v>
      </c>
      <c r="L18" s="156">
        <f t="shared" si="11"/>
        <v>235657.32333803322</v>
      </c>
      <c r="M18" s="156">
        <f t="shared" si="11"/>
        <v>234174.14837056096</v>
      </c>
      <c r="N18" s="156">
        <f t="shared" si="11"/>
        <v>232690.97340308872</v>
      </c>
      <c r="O18" s="155">
        <f t="shared" si="12"/>
        <v>231207.79843561648</v>
      </c>
      <c r="P18" s="458">
        <f t="shared" si="13"/>
        <v>229724.62346814424</v>
      </c>
      <c r="Q18" s="458">
        <f t="shared" si="13"/>
        <v>228241.44850067201</v>
      </c>
      <c r="R18" s="458">
        <f t="shared" si="13"/>
        <v>226758.27353319977</v>
      </c>
      <c r="S18" s="458">
        <f t="shared" si="13"/>
        <v>225275.09856572753</v>
      </c>
      <c r="T18" s="187">
        <f>Kytuste_hind_maksud2030!$N$57</f>
        <v>223791.92359825529</v>
      </c>
      <c r="U18" s="155">
        <f t="shared" si="14"/>
        <v>207172.08694896474</v>
      </c>
      <c r="V18" s="729">
        <f t="shared" si="15"/>
        <v>190552.25029967423</v>
      </c>
      <c r="W18" s="729">
        <f t="shared" si="16"/>
        <v>182242.33197502897</v>
      </c>
      <c r="X18" s="729">
        <f>Kytused2050!N58</f>
        <v>157312.57700109316</v>
      </c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</row>
    <row r="19" spans="1:37">
      <c r="A19" s="127"/>
      <c r="B19" s="134" t="s">
        <v>480</v>
      </c>
      <c r="C19" s="690"/>
      <c r="D19" s="155">
        <v>338969.51081210363</v>
      </c>
      <c r="E19" s="155">
        <f t="shared" si="9"/>
        <v>343695.59407712345</v>
      </c>
      <c r="F19" s="155">
        <f t="shared" si="10"/>
        <v>344640.81073012744</v>
      </c>
      <c r="G19" s="155">
        <f t="shared" si="10"/>
        <v>345586.02738313138</v>
      </c>
      <c r="H19" s="155">
        <f t="shared" si="10"/>
        <v>346531.24403613538</v>
      </c>
      <c r="I19" s="155">
        <f t="shared" si="10"/>
        <v>347476.46068913932</v>
      </c>
      <c r="J19" s="187">
        <f>Transpordi_kytused_maksud2020!$O$56</f>
        <v>348421.67734214332</v>
      </c>
      <c r="K19" s="156">
        <f t="shared" si="11"/>
        <v>352321.12778638134</v>
      </c>
      <c r="L19" s="156">
        <f t="shared" si="11"/>
        <v>356220.57823061931</v>
      </c>
      <c r="M19" s="156">
        <f t="shared" si="11"/>
        <v>360120.02867485734</v>
      </c>
      <c r="N19" s="156">
        <f t="shared" si="11"/>
        <v>364019.47911909531</v>
      </c>
      <c r="O19" s="155">
        <f t="shared" si="12"/>
        <v>367918.92956333334</v>
      </c>
      <c r="P19" s="458">
        <f t="shared" si="13"/>
        <v>371818.38000757137</v>
      </c>
      <c r="Q19" s="458">
        <f t="shared" si="13"/>
        <v>375717.83045180934</v>
      </c>
      <c r="R19" s="458">
        <f t="shared" si="13"/>
        <v>379617.28089604736</v>
      </c>
      <c r="S19" s="458">
        <f t="shared" si="13"/>
        <v>383516.73134028533</v>
      </c>
      <c r="T19" s="187">
        <f>Kytuste_hind_maksud2030!$O$57</f>
        <v>387416.18178452336</v>
      </c>
      <c r="U19" s="155">
        <f t="shared" si="14"/>
        <v>400941.77099905408</v>
      </c>
      <c r="V19" s="729">
        <f t="shared" si="15"/>
        <v>414467.36021358485</v>
      </c>
      <c r="W19" s="729">
        <f t="shared" si="16"/>
        <v>421230.15482085018</v>
      </c>
      <c r="X19" s="729">
        <f>Kytused2050!O58</f>
        <v>441518.53864264628</v>
      </c>
      <c r="Y19" s="223"/>
      <c r="Z19" s="223">
        <v>2030</v>
      </c>
      <c r="AA19" s="223">
        <v>9600</v>
      </c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</row>
    <row r="20" spans="1:37">
      <c r="A20" s="127"/>
      <c r="B20" s="134" t="s">
        <v>68</v>
      </c>
      <c r="C20" s="690"/>
      <c r="D20" s="155">
        <v>0</v>
      </c>
      <c r="E20" s="155">
        <f t="shared" si="9"/>
        <v>5972.1236893675341</v>
      </c>
      <c r="F20" s="155">
        <f t="shared" si="10"/>
        <v>7166.5484272410413</v>
      </c>
      <c r="G20" s="155">
        <f t="shared" si="10"/>
        <v>8360.9731651145485</v>
      </c>
      <c r="H20" s="155">
        <f t="shared" si="10"/>
        <v>9555.3979029880538</v>
      </c>
      <c r="I20" s="155">
        <f t="shared" si="10"/>
        <v>10749.822640861561</v>
      </c>
      <c r="J20" s="187">
        <f>Transpordi_kytused_maksud2020!$P$56</f>
        <v>11944.247378735068</v>
      </c>
      <c r="K20" s="156">
        <f t="shared" si="11"/>
        <v>15945.674972885537</v>
      </c>
      <c r="L20" s="156">
        <f t="shared" si="11"/>
        <v>19947.102567036007</v>
      </c>
      <c r="M20" s="156">
        <f t="shared" si="11"/>
        <v>23948.530161186478</v>
      </c>
      <c r="N20" s="156">
        <f t="shared" si="11"/>
        <v>27949.957755336945</v>
      </c>
      <c r="O20" s="155">
        <f t="shared" si="12"/>
        <v>31951.385349487417</v>
      </c>
      <c r="P20" s="458">
        <f t="shared" si="13"/>
        <v>35952.812943637888</v>
      </c>
      <c r="Q20" s="458">
        <f t="shared" si="13"/>
        <v>39954.240537788355</v>
      </c>
      <c r="R20" s="458">
        <f t="shared" si="13"/>
        <v>43955.66813193883</v>
      </c>
      <c r="S20" s="458">
        <f t="shared" si="13"/>
        <v>47957.095726089297</v>
      </c>
      <c r="T20" s="187">
        <f>Kytuste_hind_maksud2030!$P$57</f>
        <v>51958.523320239765</v>
      </c>
      <c r="U20" s="155">
        <f t="shared" si="14"/>
        <v>54022.760571908686</v>
      </c>
      <c r="V20" s="729">
        <f t="shared" si="15"/>
        <v>56086.997823577607</v>
      </c>
      <c r="W20" s="729">
        <f t="shared" si="16"/>
        <v>57119.11644941206</v>
      </c>
      <c r="X20" s="729">
        <f>Kytused2050!P58</f>
        <v>60215.472326915442</v>
      </c>
      <c r="Y20" s="223"/>
      <c r="Z20" s="223">
        <f>AA19*T12</f>
        <v>48082775.082732357</v>
      </c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</row>
    <row r="21" spans="1:37">
      <c r="A21" s="127"/>
      <c r="B21" s="134" t="s">
        <v>8</v>
      </c>
      <c r="C21" s="690"/>
      <c r="D21" s="155">
        <v>0</v>
      </c>
      <c r="E21" s="155">
        <f t="shared" si="9"/>
        <v>12889.595659473171</v>
      </c>
      <c r="F21" s="155">
        <f t="shared" si="10"/>
        <v>15467.514791367805</v>
      </c>
      <c r="G21" s="155">
        <f t="shared" si="10"/>
        <v>18045.433923262441</v>
      </c>
      <c r="H21" s="155">
        <f t="shared" si="10"/>
        <v>20623.353055157073</v>
      </c>
      <c r="I21" s="155">
        <f t="shared" si="10"/>
        <v>23201.272187051705</v>
      </c>
      <c r="J21" s="187">
        <f>Transpordi_kytused_maksud2020!$Q$56</f>
        <v>25779.191318946341</v>
      </c>
      <c r="K21" s="156">
        <f t="shared" si="11"/>
        <v>25739.844103111533</v>
      </c>
      <c r="L21" s="156">
        <f t="shared" si="11"/>
        <v>25700.496887276724</v>
      </c>
      <c r="M21" s="156">
        <f t="shared" si="11"/>
        <v>25661.149671441919</v>
      </c>
      <c r="N21" s="156">
        <f t="shared" si="11"/>
        <v>25621.80245560711</v>
      </c>
      <c r="O21" s="155">
        <f t="shared" si="12"/>
        <v>25582.455239772302</v>
      </c>
      <c r="P21" s="458">
        <f t="shared" si="13"/>
        <v>25543.108023937493</v>
      </c>
      <c r="Q21" s="458">
        <f t="shared" si="13"/>
        <v>25503.760808102685</v>
      </c>
      <c r="R21" s="458">
        <f t="shared" si="13"/>
        <v>25464.41359226788</v>
      </c>
      <c r="S21" s="458">
        <f t="shared" si="13"/>
        <v>25425.066376433071</v>
      </c>
      <c r="T21" s="187">
        <f>Kytuste_hind_maksud2030!$Q$57</f>
        <v>25385.719160598263</v>
      </c>
      <c r="U21" s="155">
        <f t="shared" si="14"/>
        <v>24137.766353595827</v>
      </c>
      <c r="V21" s="729">
        <f t="shared" si="15"/>
        <v>22889.813546593396</v>
      </c>
      <c r="W21" s="729">
        <f t="shared" si="16"/>
        <v>22265.837143092176</v>
      </c>
      <c r="X21" s="729">
        <f>Kytused2050!Q58</f>
        <v>20393.907932588525</v>
      </c>
      <c r="Y21" s="223"/>
      <c r="Z21" s="223">
        <v>2050</v>
      </c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</row>
    <row r="22" spans="1:37">
      <c r="A22" s="127"/>
      <c r="B22" s="134" t="s">
        <v>9</v>
      </c>
      <c r="C22" s="690"/>
      <c r="D22" s="155">
        <v>0</v>
      </c>
      <c r="E22" s="155">
        <f t="shared" si="9"/>
        <v>9205.3503361088442</v>
      </c>
      <c r="F22" s="155">
        <f t="shared" si="10"/>
        <v>11046.420403330612</v>
      </c>
      <c r="G22" s="155">
        <f t="shared" si="10"/>
        <v>12887.490470552382</v>
      </c>
      <c r="H22" s="155">
        <f t="shared" si="10"/>
        <v>14728.56053777415</v>
      </c>
      <c r="I22" s="155">
        <f t="shared" si="10"/>
        <v>16569.63060499592</v>
      </c>
      <c r="J22" s="187">
        <f>Transpordi_kytused_maksud2020!$R$56</f>
        <v>18410.700672217688</v>
      </c>
      <c r="K22" s="156">
        <f t="shared" si="11"/>
        <v>16871.484262356022</v>
      </c>
      <c r="L22" s="156">
        <f t="shared" si="11"/>
        <v>15332.267852494357</v>
      </c>
      <c r="M22" s="156">
        <f t="shared" si="11"/>
        <v>13793.05144263269</v>
      </c>
      <c r="N22" s="156">
        <f t="shared" si="11"/>
        <v>12253.835032771025</v>
      </c>
      <c r="O22" s="155">
        <f t="shared" si="12"/>
        <v>10714.618622909358</v>
      </c>
      <c r="P22" s="458">
        <f t="shared" si="13"/>
        <v>9175.4022130476915</v>
      </c>
      <c r="Q22" s="458">
        <f t="shared" si="13"/>
        <v>7636.1858031860265</v>
      </c>
      <c r="R22" s="458">
        <f t="shared" si="13"/>
        <v>6096.9693933243607</v>
      </c>
      <c r="S22" s="458">
        <f t="shared" si="13"/>
        <v>4557.7529834626948</v>
      </c>
      <c r="T22" s="187">
        <f>Kytuste_hind_maksud2030!$R$57</f>
        <v>3018.536573601029</v>
      </c>
      <c r="U22" s="155">
        <f t="shared" si="14"/>
        <v>2263.902430200772</v>
      </c>
      <c r="V22" s="729">
        <f t="shared" si="15"/>
        <v>1509.2682868005145</v>
      </c>
      <c r="W22" s="729">
        <f t="shared" si="16"/>
        <v>1131.951215100386</v>
      </c>
      <c r="X22" s="729">
        <f>Kytused2050!R58</f>
        <v>0</v>
      </c>
      <c r="Y22" s="223"/>
      <c r="Z22" s="223">
        <f>AA19*X12</f>
        <v>52787303.749202959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</row>
    <row r="23" spans="1:37">
      <c r="A23" s="127"/>
      <c r="B23" s="134" t="s">
        <v>10</v>
      </c>
      <c r="C23" s="690"/>
      <c r="D23" s="155">
        <v>0</v>
      </c>
      <c r="E23" s="155">
        <f t="shared" si="9"/>
        <v>18642.009406927566</v>
      </c>
      <c r="F23" s="155">
        <f t="shared" si="10"/>
        <v>22370.41128831308</v>
      </c>
      <c r="G23" s="155">
        <f t="shared" si="10"/>
        <v>26098.813169698591</v>
      </c>
      <c r="H23" s="155">
        <f t="shared" si="10"/>
        <v>29827.215051084106</v>
      </c>
      <c r="I23" s="155">
        <f t="shared" si="10"/>
        <v>33555.616932469617</v>
      </c>
      <c r="J23" s="187">
        <f>Transpordi_kytused_maksud2020!$S$56</f>
        <v>37284.018813855131</v>
      </c>
      <c r="K23" s="156">
        <f t="shared" si="11"/>
        <v>48772.839206916615</v>
      </c>
      <c r="L23" s="156">
        <f t="shared" si="11"/>
        <v>60261.659599978106</v>
      </c>
      <c r="M23" s="156">
        <f t="shared" si="11"/>
        <v>71750.479993039597</v>
      </c>
      <c r="N23" s="156">
        <f t="shared" si="11"/>
        <v>83239.30038610108</v>
      </c>
      <c r="O23" s="155">
        <f t="shared" si="12"/>
        <v>94728.120779162564</v>
      </c>
      <c r="P23" s="458">
        <f t="shared" si="13"/>
        <v>106216.94117222405</v>
      </c>
      <c r="Q23" s="458">
        <f t="shared" si="13"/>
        <v>117705.76156528553</v>
      </c>
      <c r="R23" s="458">
        <f t="shared" si="13"/>
        <v>129194.58195834703</v>
      </c>
      <c r="S23" s="458">
        <f t="shared" si="13"/>
        <v>140683.4023514085</v>
      </c>
      <c r="T23" s="187">
        <f>Kytuste_hind_maksud2030!$S$57</f>
        <v>152172.22274447</v>
      </c>
      <c r="U23" s="155">
        <f t="shared" si="14"/>
        <v>161526.40666532874</v>
      </c>
      <c r="V23" s="729">
        <f t="shared" si="15"/>
        <v>170880.59058618749</v>
      </c>
      <c r="W23" s="729">
        <f t="shared" si="16"/>
        <v>175557.68254661688</v>
      </c>
      <c r="X23" s="729">
        <f>Kytused2050!S58</f>
        <v>189588.95842790499</v>
      </c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</row>
    <row r="24" spans="1:37" s="675" customFormat="1">
      <c r="A24" s="672"/>
      <c r="B24" s="673" t="s">
        <v>19</v>
      </c>
      <c r="C24" s="695">
        <v>1000</v>
      </c>
      <c r="D24" s="188">
        <f>SUM(D17:D23)</f>
        <v>539917.82378772972</v>
      </c>
      <c r="E24" s="188">
        <f t="shared" ref="E24:X24" si="17">SUM(E17:E23)</f>
        <v>613606.76913670916</v>
      </c>
      <c r="F24" s="188">
        <f t="shared" si="17"/>
        <v>628344.55820650491</v>
      </c>
      <c r="G24" s="188">
        <f t="shared" si="17"/>
        <v>643082.34727630066</v>
      </c>
      <c r="H24" s="188">
        <f t="shared" si="17"/>
        <v>657820.13634609664</v>
      </c>
      <c r="I24" s="188">
        <f t="shared" si="17"/>
        <v>672557.9254158925</v>
      </c>
      <c r="J24" s="188">
        <f t="shared" si="17"/>
        <v>687295.71448568837</v>
      </c>
      <c r="K24" s="188">
        <f t="shared" si="17"/>
        <v>704614.13747128309</v>
      </c>
      <c r="L24" s="188">
        <f t="shared" si="17"/>
        <v>721932.56045687781</v>
      </c>
      <c r="M24" s="188">
        <f t="shared" si="17"/>
        <v>739250.98344247229</v>
      </c>
      <c r="N24" s="188">
        <f t="shared" si="17"/>
        <v>756569.40642806701</v>
      </c>
      <c r="O24" s="188">
        <f t="shared" si="17"/>
        <v>773887.8294136615</v>
      </c>
      <c r="P24" s="188">
        <f t="shared" si="17"/>
        <v>791206.2523992561</v>
      </c>
      <c r="Q24" s="188">
        <f t="shared" si="17"/>
        <v>808524.67538485082</v>
      </c>
      <c r="R24" s="188">
        <f t="shared" si="17"/>
        <v>825843.09837044554</v>
      </c>
      <c r="S24" s="188">
        <f t="shared" si="17"/>
        <v>843161.52135604015</v>
      </c>
      <c r="T24" s="188">
        <f t="shared" si="17"/>
        <v>860479.94434163487</v>
      </c>
      <c r="U24" s="188">
        <f t="shared" si="17"/>
        <v>862617.32183901325</v>
      </c>
      <c r="V24" s="736">
        <f t="shared" si="17"/>
        <v>864754.69933639164</v>
      </c>
      <c r="W24" s="736">
        <f t="shared" si="17"/>
        <v>865823.38808508089</v>
      </c>
      <c r="X24" s="752">
        <f t="shared" si="17"/>
        <v>869029.45433114842</v>
      </c>
      <c r="Y24" s="674"/>
      <c r="Z24" s="674"/>
      <c r="AA24" s="674"/>
      <c r="AB24" s="674"/>
      <c r="AC24" s="674"/>
      <c r="AD24" s="674"/>
      <c r="AE24" s="674"/>
      <c r="AF24" s="674"/>
      <c r="AG24" s="674"/>
      <c r="AH24" s="674"/>
      <c r="AI24" s="674"/>
      <c r="AJ24" s="674"/>
      <c r="AK24" s="674"/>
    </row>
    <row r="25" spans="1:37">
      <c r="A25" s="127"/>
      <c r="B25" s="129" t="s">
        <v>94</v>
      </c>
      <c r="C25" s="690"/>
      <c r="D25" s="155">
        <v>328754.11424651969</v>
      </c>
      <c r="E25" s="155">
        <f>AVERAGE(D25,J25)</f>
        <v>357868.18092902761</v>
      </c>
      <c r="F25" s="155">
        <f t="shared" ref="F25:I29" si="18">$E25+($J25-$E25)/5*(F$4-$E$4)</f>
        <v>363690.99426552921</v>
      </c>
      <c r="G25" s="155">
        <f t="shared" si="18"/>
        <v>369513.80760203081</v>
      </c>
      <c r="H25" s="155">
        <f t="shared" si="18"/>
        <v>375336.6209385324</v>
      </c>
      <c r="I25" s="155">
        <f t="shared" si="18"/>
        <v>381159.434275034</v>
      </c>
      <c r="J25" s="187">
        <f>Transpordi_kytused_maksud2020!T57</f>
        <v>386982.2476115356</v>
      </c>
      <c r="K25" s="156">
        <f t="shared" si="11"/>
        <v>388063.66782299743</v>
      </c>
      <c r="L25" s="156">
        <f t="shared" si="11"/>
        <v>389145.08803445927</v>
      </c>
      <c r="M25" s="156">
        <f t="shared" si="11"/>
        <v>390226.50824592117</v>
      </c>
      <c r="N25" s="156">
        <f t="shared" si="11"/>
        <v>391307.92845738301</v>
      </c>
      <c r="O25" s="155">
        <f t="shared" si="12"/>
        <v>392389.34866884485</v>
      </c>
      <c r="P25" s="458">
        <f t="shared" si="13"/>
        <v>393470.76888030668</v>
      </c>
      <c r="Q25" s="458">
        <f t="shared" si="13"/>
        <v>394552.18909176852</v>
      </c>
      <c r="R25" s="458">
        <f t="shared" si="13"/>
        <v>395633.60930323042</v>
      </c>
      <c r="S25" s="458">
        <f t="shared" si="13"/>
        <v>396715.02951469226</v>
      </c>
      <c r="T25" s="187">
        <f>Kytuste_hind_maksud2030!T58</f>
        <v>397796.4497261541</v>
      </c>
      <c r="U25" s="155">
        <f t="shared" si="14"/>
        <v>377691.35499768297</v>
      </c>
      <c r="V25" s="729">
        <f>AVERAGE(T25,X25)</f>
        <v>357586.26026921184</v>
      </c>
      <c r="W25" s="729">
        <f>AVERAGE(U25,X25)</f>
        <v>347533.71290497622</v>
      </c>
      <c r="X25" s="729">
        <f>Kytused2050!T59</f>
        <v>317376.07081226952</v>
      </c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</row>
    <row r="26" spans="1:37">
      <c r="B26" s="129" t="s">
        <v>71</v>
      </c>
      <c r="C26" s="690"/>
      <c r="D26" s="155">
        <f>TransportBAU!D26</f>
        <v>92212.805344245047</v>
      </c>
      <c r="E26" s="155">
        <f>AVERAGE(D26,J26)</f>
        <v>97218.622900270653</v>
      </c>
      <c r="F26" s="155">
        <f t="shared" si="18"/>
        <v>98219.786411475769</v>
      </c>
      <c r="G26" s="155">
        <f t="shared" si="18"/>
        <v>99220.949922680884</v>
      </c>
      <c r="H26" s="155">
        <f t="shared" si="18"/>
        <v>100222.11343388601</v>
      </c>
      <c r="I26" s="155">
        <f t="shared" si="18"/>
        <v>101223.27694509113</v>
      </c>
      <c r="J26" s="187">
        <f>Transpordi_kytused_maksud2020!T58</f>
        <v>102224.44045629624</v>
      </c>
      <c r="K26" s="156">
        <f t="shared" si="11"/>
        <v>103574.11959593951</v>
      </c>
      <c r="L26" s="156">
        <f t="shared" si="11"/>
        <v>104923.79873558278</v>
      </c>
      <c r="M26" s="156">
        <f t="shared" si="11"/>
        <v>106273.47787522606</v>
      </c>
      <c r="N26" s="156">
        <f t="shared" si="11"/>
        <v>107623.15701486933</v>
      </c>
      <c r="O26" s="155">
        <f t="shared" si="12"/>
        <v>108972.8361545126</v>
      </c>
      <c r="P26" s="458">
        <f t="shared" si="13"/>
        <v>110322.51529415586</v>
      </c>
      <c r="Q26" s="458">
        <f t="shared" si="13"/>
        <v>111672.19443379914</v>
      </c>
      <c r="R26" s="458">
        <f t="shared" si="13"/>
        <v>113021.87357344241</v>
      </c>
      <c r="S26" s="458">
        <f t="shared" si="13"/>
        <v>114371.55271308569</v>
      </c>
      <c r="T26" s="187">
        <f>Kytuste_hind_maksud2030!T59</f>
        <v>115721.23185272896</v>
      </c>
      <c r="U26" s="155">
        <f t="shared" si="14"/>
        <v>111353.60171871647</v>
      </c>
      <c r="V26" s="729">
        <f>AVERAGE(T26,X26)</f>
        <v>106985.97158470398</v>
      </c>
      <c r="W26" s="729">
        <f>AVERAGE(U26,X26)</f>
        <v>104802.15651769773</v>
      </c>
      <c r="X26" s="729">
        <f>Kytused2050!T60</f>
        <v>98250.711316679008</v>
      </c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</row>
    <row r="27" spans="1:37">
      <c r="A27" s="127"/>
      <c r="B27" s="129" t="s">
        <v>58</v>
      </c>
      <c r="C27" s="690"/>
      <c r="D27" s="155">
        <f>SUM(D18:D19)*0.1</f>
        <v>53456.115408201018</v>
      </c>
      <c r="E27" s="155">
        <f>AVERAGE(D27,J27)</f>
        <v>60751.233144044272</v>
      </c>
      <c r="F27" s="155">
        <f t="shared" si="18"/>
        <v>62210.256691212926</v>
      </c>
      <c r="G27" s="155">
        <f t="shared" si="18"/>
        <v>63669.280238381572</v>
      </c>
      <c r="H27" s="155">
        <f t="shared" si="18"/>
        <v>65128.303785550226</v>
      </c>
      <c r="I27" s="155">
        <f t="shared" si="18"/>
        <v>66587.32733271888</v>
      </c>
      <c r="J27" s="187">
        <f>Transpordi_kytused_maksud2020!T59</f>
        <v>68046.350879887526</v>
      </c>
      <c r="K27" s="156">
        <f t="shared" si="11"/>
        <v>69679.14686371565</v>
      </c>
      <c r="L27" s="156">
        <f t="shared" si="11"/>
        <v>71311.942847543774</v>
      </c>
      <c r="M27" s="156">
        <f t="shared" si="11"/>
        <v>72944.738831371898</v>
      </c>
      <c r="N27" s="156">
        <f t="shared" si="11"/>
        <v>74577.534815200022</v>
      </c>
      <c r="O27" s="155">
        <f t="shared" si="12"/>
        <v>76210.330799028146</v>
      </c>
      <c r="P27" s="458">
        <f t="shared" si="13"/>
        <v>77843.12678285627</v>
      </c>
      <c r="Q27" s="458">
        <f t="shared" si="13"/>
        <v>79475.922766684394</v>
      </c>
      <c r="R27" s="458">
        <f t="shared" si="13"/>
        <v>81108.718750512518</v>
      </c>
      <c r="S27" s="458">
        <f t="shared" si="13"/>
        <v>82741.514734340642</v>
      </c>
      <c r="T27" s="187">
        <f>Kytuste_hind_maksud2030!T60</f>
        <v>84374.310718168766</v>
      </c>
      <c r="U27" s="155">
        <f t="shared" si="14"/>
        <v>85006.46939690529</v>
      </c>
      <c r="V27" s="729">
        <f>AVERAGE(T27,X27)</f>
        <v>85638.628075641813</v>
      </c>
      <c r="W27" s="729">
        <f>AVERAGE(U27,X27)</f>
        <v>85954.707415010067</v>
      </c>
      <c r="X27" s="729">
        <f>Kytused2050!T61</f>
        <v>86902.945433114844</v>
      </c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</row>
    <row r="28" spans="1:37" s="200" customFormat="1">
      <c r="A28" s="199"/>
      <c r="B28" s="129" t="s">
        <v>64</v>
      </c>
      <c r="C28" s="690"/>
      <c r="D28" s="155"/>
      <c r="E28" s="155">
        <f>AVERAGE(D28,J28)</f>
        <v>102300</v>
      </c>
      <c r="F28" s="155">
        <f t="shared" si="18"/>
        <v>102300</v>
      </c>
      <c r="G28" s="155">
        <f t="shared" si="18"/>
        <v>102300</v>
      </c>
      <c r="H28" s="155">
        <f t="shared" si="18"/>
        <v>102300</v>
      </c>
      <c r="I28" s="155">
        <f t="shared" si="18"/>
        <v>102300</v>
      </c>
      <c r="J28" s="187">
        <f>Meetmed_maksumustega2020!Y59</f>
        <v>102300</v>
      </c>
      <c r="K28" s="156">
        <f t="shared" si="11"/>
        <v>109660</v>
      </c>
      <c r="L28" s="156">
        <f t="shared" si="11"/>
        <v>117020</v>
      </c>
      <c r="M28" s="156">
        <f t="shared" si="11"/>
        <v>124380</v>
      </c>
      <c r="N28" s="156">
        <f t="shared" si="11"/>
        <v>131740</v>
      </c>
      <c r="O28" s="155">
        <f t="shared" si="12"/>
        <v>139100</v>
      </c>
      <c r="P28" s="458">
        <f t="shared" si="13"/>
        <v>146460</v>
      </c>
      <c r="Q28" s="458">
        <f t="shared" si="13"/>
        <v>153820</v>
      </c>
      <c r="R28" s="458">
        <f t="shared" si="13"/>
        <v>161180</v>
      </c>
      <c r="S28" s="458">
        <f t="shared" si="13"/>
        <v>168540</v>
      </c>
      <c r="T28" s="187">
        <f>Meetmed_maksumustega_2030!Z59</f>
        <v>175900</v>
      </c>
      <c r="U28" s="155">
        <f>T28*1.075</f>
        <v>189092.5</v>
      </c>
      <c r="V28" s="729">
        <f>U28*1.075</f>
        <v>203274.4375</v>
      </c>
      <c r="W28" s="729">
        <f>V28*1.075</f>
        <v>218520.02031249998</v>
      </c>
      <c r="X28" s="729">
        <f>W28*1.075</f>
        <v>234909.02183593748</v>
      </c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</row>
    <row r="29" spans="1:37" s="202" customFormat="1">
      <c r="A29" s="201"/>
      <c r="B29" s="129" t="s">
        <v>95</v>
      </c>
      <c r="C29" s="690"/>
      <c r="D29" s="155">
        <f>D25+D28</f>
        <v>328754.11424651969</v>
      </c>
      <c r="E29" s="155">
        <f>AVERAGE(D29,J29)</f>
        <v>409018.18092902761</v>
      </c>
      <c r="F29" s="155">
        <f t="shared" si="18"/>
        <v>425070.99426552921</v>
      </c>
      <c r="G29" s="155">
        <f t="shared" si="18"/>
        <v>441123.80760203081</v>
      </c>
      <c r="H29" s="155">
        <f t="shared" si="18"/>
        <v>457176.6209385324</v>
      </c>
      <c r="I29" s="155">
        <f t="shared" si="18"/>
        <v>473229.434275034</v>
      </c>
      <c r="J29" s="187">
        <f t="shared" ref="J29:X29" si="19">J25+J28</f>
        <v>489282.2476115356</v>
      </c>
      <c r="K29" s="156">
        <f t="shared" si="11"/>
        <v>497723.66782299743</v>
      </c>
      <c r="L29" s="156">
        <f t="shared" si="11"/>
        <v>506165.08803445933</v>
      </c>
      <c r="M29" s="156">
        <f t="shared" si="11"/>
        <v>514606.50824592117</v>
      </c>
      <c r="N29" s="156">
        <f t="shared" si="11"/>
        <v>523047.92845738307</v>
      </c>
      <c r="O29" s="155">
        <f t="shared" si="19"/>
        <v>531489.3486688449</v>
      </c>
      <c r="P29" s="458">
        <f t="shared" si="13"/>
        <v>539930.76888030674</v>
      </c>
      <c r="Q29" s="458">
        <f t="shared" si="13"/>
        <v>548372.18909176858</v>
      </c>
      <c r="R29" s="458">
        <f t="shared" si="13"/>
        <v>556813.60930323042</v>
      </c>
      <c r="S29" s="458">
        <f t="shared" si="13"/>
        <v>565255.02951469226</v>
      </c>
      <c r="T29" s="187">
        <f t="shared" si="19"/>
        <v>573696.4497261541</v>
      </c>
      <c r="U29" s="155">
        <f t="shared" si="19"/>
        <v>566783.85499768297</v>
      </c>
      <c r="V29" s="729">
        <f t="shared" si="19"/>
        <v>560860.69776921184</v>
      </c>
      <c r="W29" s="729">
        <f t="shared" si="19"/>
        <v>566053.73321747617</v>
      </c>
      <c r="X29" s="729">
        <f t="shared" si="19"/>
        <v>552285.09264820698</v>
      </c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</row>
    <row r="30" spans="1:37" s="191" customFormat="1" ht="15.75" thickBot="1">
      <c r="A30" s="189"/>
      <c r="B30" s="190" t="s">
        <v>478</v>
      </c>
      <c r="C30" s="696"/>
      <c r="D30" s="679">
        <f>D29-TransportBAU!D29</f>
        <v>-3500</v>
      </c>
      <c r="E30" s="679">
        <f t="shared" ref="E30:X30" si="20">SUM(E24:E27)</f>
        <v>1129444.8061100517</v>
      </c>
      <c r="F30" s="679">
        <f t="shared" si="20"/>
        <v>1152465.5955747229</v>
      </c>
      <c r="G30" s="679">
        <f t="shared" si="20"/>
        <v>1175486.385039394</v>
      </c>
      <c r="H30" s="679">
        <f t="shared" si="20"/>
        <v>1198507.1745040652</v>
      </c>
      <c r="I30" s="679">
        <f t="shared" si="20"/>
        <v>1221527.9639687366</v>
      </c>
      <c r="J30" s="679">
        <f t="shared" si="20"/>
        <v>1244548.7534334077</v>
      </c>
      <c r="K30" s="679">
        <f t="shared" si="20"/>
        <v>1265931.0717539357</v>
      </c>
      <c r="L30" s="679">
        <f t="shared" si="20"/>
        <v>1287313.3900744636</v>
      </c>
      <c r="M30" s="679">
        <f t="shared" si="20"/>
        <v>1308695.7083949917</v>
      </c>
      <c r="N30" s="679">
        <f t="shared" si="20"/>
        <v>1330078.0267155194</v>
      </c>
      <c r="O30" s="679">
        <f t="shared" si="20"/>
        <v>1351460.345036047</v>
      </c>
      <c r="P30" s="679">
        <f t="shared" si="20"/>
        <v>1372842.6633565747</v>
      </c>
      <c r="Q30" s="679">
        <f t="shared" si="20"/>
        <v>1394224.9816771029</v>
      </c>
      <c r="R30" s="679">
        <f t="shared" si="20"/>
        <v>1415607.2999976308</v>
      </c>
      <c r="S30" s="679">
        <f t="shared" si="20"/>
        <v>1436989.6183181587</v>
      </c>
      <c r="T30" s="679">
        <f t="shared" si="20"/>
        <v>1458371.9366386866</v>
      </c>
      <c r="U30" s="679">
        <f t="shared" si="20"/>
        <v>1436668.7479523181</v>
      </c>
      <c r="V30" s="679">
        <f t="shared" si="20"/>
        <v>1414965.5592659493</v>
      </c>
      <c r="W30" s="679">
        <f t="shared" si="20"/>
        <v>1404113.9649227648</v>
      </c>
      <c r="X30" s="679">
        <f t="shared" si="20"/>
        <v>1371559.1818932118</v>
      </c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</row>
    <row r="31" spans="1:37" ht="15.75" thickBot="1">
      <c r="B31" s="684"/>
      <c r="C31" s="697"/>
      <c r="D31" s="685">
        <f>TAK!D4</f>
        <v>2010</v>
      </c>
      <c r="E31" s="685">
        <f>TAK!E4</f>
        <v>2015</v>
      </c>
      <c r="F31" s="685">
        <f>F4</f>
        <v>2016</v>
      </c>
      <c r="G31" s="685">
        <f t="shared" ref="G31:S31" si="21">G4</f>
        <v>2017</v>
      </c>
      <c r="H31" s="685">
        <f t="shared" si="21"/>
        <v>2018</v>
      </c>
      <c r="I31" s="685">
        <f t="shared" si="21"/>
        <v>2019</v>
      </c>
      <c r="J31" s="685">
        <f t="shared" si="21"/>
        <v>2020</v>
      </c>
      <c r="K31" s="685">
        <f t="shared" si="21"/>
        <v>2021</v>
      </c>
      <c r="L31" s="685">
        <f t="shared" si="21"/>
        <v>2022</v>
      </c>
      <c r="M31" s="685">
        <f t="shared" si="21"/>
        <v>2023</v>
      </c>
      <c r="N31" s="685">
        <f t="shared" si="21"/>
        <v>2024</v>
      </c>
      <c r="O31" s="685">
        <f t="shared" si="21"/>
        <v>2025</v>
      </c>
      <c r="P31" s="685">
        <f t="shared" si="21"/>
        <v>2026</v>
      </c>
      <c r="Q31" s="685">
        <f t="shared" si="21"/>
        <v>2027</v>
      </c>
      <c r="R31" s="685">
        <f t="shared" si="21"/>
        <v>2028</v>
      </c>
      <c r="S31" s="685">
        <f t="shared" si="21"/>
        <v>2029</v>
      </c>
      <c r="T31" s="685">
        <f>TAK!H4</f>
        <v>2030</v>
      </c>
      <c r="U31" s="685">
        <f>TAK!I4</f>
        <v>2035</v>
      </c>
      <c r="V31" s="737">
        <f>TAK!J4</f>
        <v>2040</v>
      </c>
      <c r="W31" s="737">
        <f>TAK!K4</f>
        <v>2045</v>
      </c>
      <c r="X31" s="738">
        <f>TAK!L4</f>
        <v>2050</v>
      </c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</row>
    <row r="32" spans="1:37">
      <c r="A32" s="127"/>
      <c r="B32" s="682" t="str">
        <f>TAK!B5</f>
        <v>Investeeringud</v>
      </c>
      <c r="C32" s="698">
        <v>1000</v>
      </c>
      <c r="D32" s="682"/>
      <c r="E32" s="683">
        <f>SUM(E33,E37,E40)</f>
        <v>755511.77217046195</v>
      </c>
      <c r="F32" s="683">
        <f t="shared" ref="F32:T32" si="22">SUM(F33,F37,F40)</f>
        <v>751285.84902090835</v>
      </c>
      <c r="G32" s="683">
        <f t="shared" si="22"/>
        <v>747059.92587135453</v>
      </c>
      <c r="H32" s="683">
        <f t="shared" si="22"/>
        <v>742834.00272180082</v>
      </c>
      <c r="I32" s="683">
        <f t="shared" si="22"/>
        <v>738608.07957224711</v>
      </c>
      <c r="J32" s="683">
        <f t="shared" si="22"/>
        <v>734382.15642269328</v>
      </c>
      <c r="K32" s="683">
        <f t="shared" si="22"/>
        <v>739602.78770105133</v>
      </c>
      <c r="L32" s="683">
        <f t="shared" si="22"/>
        <v>744823.41897940903</v>
      </c>
      <c r="M32" s="683">
        <f t="shared" si="22"/>
        <v>750044.05025776697</v>
      </c>
      <c r="N32" s="683">
        <f t="shared" si="22"/>
        <v>755264.68153612479</v>
      </c>
      <c r="O32" s="683">
        <f t="shared" si="22"/>
        <v>786485.3128144826</v>
      </c>
      <c r="P32" s="683">
        <f t="shared" si="22"/>
        <v>788447.84333725169</v>
      </c>
      <c r="Q32" s="683">
        <f t="shared" si="22"/>
        <v>790410.37386002066</v>
      </c>
      <c r="R32" s="683">
        <f t="shared" si="22"/>
        <v>792372.90438278962</v>
      </c>
      <c r="S32" s="683">
        <f t="shared" si="22"/>
        <v>794335.43490555882</v>
      </c>
      <c r="T32" s="683">
        <f t="shared" si="22"/>
        <v>796297.96542832779</v>
      </c>
      <c r="U32" s="683">
        <f>TAK!I5*1000</f>
        <v>820809.08807147818</v>
      </c>
      <c r="V32" s="739">
        <f>TAK!J5*1000</f>
        <v>817417.26339821343</v>
      </c>
      <c r="W32" s="739">
        <f>TAK!K5*1000</f>
        <v>809292.07296603674</v>
      </c>
      <c r="X32" s="739">
        <f>TAK!L5*1000</f>
        <v>810898.79083039274</v>
      </c>
      <c r="Y32" s="223"/>
      <c r="Z32" s="223" t="str">
        <f>TAK!N5</f>
        <v>Investeering on siin tabelis uue infra ehitus või põhjalik rekonstrueerimine</v>
      </c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</row>
    <row r="33" spans="1:37">
      <c r="A33" s="127"/>
      <c r="B33" s="217" t="str">
        <f>TAK!B6</f>
        <v>Maanteed ja tänavad</v>
      </c>
      <c r="C33" s="699"/>
      <c r="D33" s="218"/>
      <c r="E33" s="457">
        <f>SUM(E34:E36)</f>
        <v>99736.849093538825</v>
      </c>
      <c r="F33" s="457">
        <f t="shared" ref="F33:T33" si="23">SUM(F34:F36)</f>
        <v>99800.869277318416</v>
      </c>
      <c r="G33" s="457">
        <f t="shared" si="23"/>
        <v>99864.889461098035</v>
      </c>
      <c r="H33" s="457">
        <f t="shared" si="23"/>
        <v>99928.909644877625</v>
      </c>
      <c r="I33" s="457">
        <f t="shared" si="23"/>
        <v>99992.929828657245</v>
      </c>
      <c r="J33" s="457">
        <f t="shared" si="23"/>
        <v>100056.95001243684</v>
      </c>
      <c r="K33" s="457">
        <f t="shared" si="23"/>
        <v>98812.032572846016</v>
      </c>
      <c r="L33" s="457">
        <f t="shared" si="23"/>
        <v>97567.115133255167</v>
      </c>
      <c r="M33" s="457">
        <f t="shared" si="23"/>
        <v>96322.197693664348</v>
      </c>
      <c r="N33" s="457">
        <f t="shared" si="23"/>
        <v>95077.280254073514</v>
      </c>
      <c r="O33" s="457">
        <f t="shared" si="23"/>
        <v>93832.36281448268</v>
      </c>
      <c r="P33" s="457">
        <f t="shared" si="23"/>
        <v>94248.774106482466</v>
      </c>
      <c r="Q33" s="457">
        <f t="shared" si="23"/>
        <v>94665.185398482252</v>
      </c>
      <c r="R33" s="457">
        <f t="shared" si="23"/>
        <v>95081.596690482038</v>
      </c>
      <c r="S33" s="457">
        <f t="shared" si="23"/>
        <v>95498.007982481824</v>
      </c>
      <c r="T33" s="457">
        <f t="shared" si="23"/>
        <v>95914.419274481595</v>
      </c>
      <c r="U33" s="457">
        <f>TAK!I6*1000</f>
        <v>97203.363712503691</v>
      </c>
      <c r="V33" s="740">
        <f>TAK!J6*1000</f>
        <v>98465.981346931352</v>
      </c>
      <c r="W33" s="740">
        <f>TAK!K6*1000</f>
        <v>99704.165914754529</v>
      </c>
      <c r="X33" s="740">
        <f>TAK!L6*1000</f>
        <v>100919.63377911071</v>
      </c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</row>
    <row r="34" spans="1:37">
      <c r="A34" s="127"/>
      <c r="B34" s="222" t="str">
        <f>TAK!B7</f>
        <v>Riik KOV teedele</v>
      </c>
      <c r="C34" s="700"/>
      <c r="D34" s="223"/>
      <c r="E34" s="458">
        <f>TAK!E7*1000</f>
        <v>12800</v>
      </c>
      <c r="F34" s="458">
        <f>$E34+($J34-$E34)/5*(F$4-$E$4)</f>
        <v>13160.355733511013</v>
      </c>
      <c r="G34" s="458">
        <f t="shared" ref="G34:I36" si="24">$E34+($J34-$E34)/5*(G$4-$E$4)</f>
        <v>13520.711467022025</v>
      </c>
      <c r="H34" s="458">
        <f t="shared" si="24"/>
        <v>13881.067200533038</v>
      </c>
      <c r="I34" s="458">
        <f t="shared" si="24"/>
        <v>14241.422934044052</v>
      </c>
      <c r="J34" s="458">
        <f>TAK!F7*1000</f>
        <v>14601.778667555065</v>
      </c>
      <c r="K34" s="458">
        <f>$J34+($O34-$J34)/5*(K$4-$J$4)</f>
        <v>14318.575904259169</v>
      </c>
      <c r="L34" s="458">
        <f t="shared" ref="L34:N36" si="25">$J34+($O34-$J34)/5*(L$4-$J$4)</f>
        <v>14035.373140963273</v>
      </c>
      <c r="M34" s="458">
        <f t="shared" si="25"/>
        <v>13752.170377667377</v>
      </c>
      <c r="N34" s="458">
        <f t="shared" si="25"/>
        <v>13468.967614371481</v>
      </c>
      <c r="O34" s="458">
        <f>TAK!G7*1000</f>
        <v>13185.764851075584</v>
      </c>
      <c r="P34" s="458">
        <f>$O34+($T34-$O34)/5*(P$4-$O$4)</f>
        <v>13203.319875395231</v>
      </c>
      <c r="Q34" s="458">
        <f t="shared" ref="Q34:S38" si="26">$O34+($T34-$O34)/5*(Q$4-$O$4)</f>
        <v>13220.874899714878</v>
      </c>
      <c r="R34" s="458">
        <f t="shared" si="26"/>
        <v>13238.429924034523</v>
      </c>
      <c r="S34" s="458">
        <f t="shared" si="26"/>
        <v>13255.984948354169</v>
      </c>
      <c r="T34" s="458">
        <f>TAK!H7*1000</f>
        <v>13273.539972673816</v>
      </c>
      <c r="U34" s="458">
        <f>TAK!I7*1000</f>
        <v>13370.543848684587</v>
      </c>
      <c r="V34" s="741">
        <f>TAK!J7*1000</f>
        <v>13462.781665423952</v>
      </c>
      <c r="W34" s="741">
        <f>TAK!K7*1000</f>
        <v>13550.596254588365</v>
      </c>
      <c r="X34" s="741">
        <f>TAK!L7*1000</f>
        <v>13634.298337090655</v>
      </c>
      <c r="Y34" s="223"/>
      <c r="Z34" s="223" t="str">
        <f>TAK!N7</f>
        <v>Proportsionaalne sõiduautode läbisõidu kasvuga, investeeringud tingib läbilaskvuse tõstmise vajadus</v>
      </c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</row>
    <row r="35" spans="1:37">
      <c r="A35" s="127"/>
      <c r="B35" s="227" t="str">
        <f>TAK!B8</f>
        <v>Riik maanteedele</v>
      </c>
      <c r="C35" s="700"/>
      <c r="D35" s="223"/>
      <c r="E35" s="458">
        <f>TAK!E8*1000</f>
        <v>70000</v>
      </c>
      <c r="F35" s="458">
        <f>$E35+($J35-$E35)/5*(F$4-$E$4)</f>
        <v>69211.13308016886</v>
      </c>
      <c r="G35" s="458">
        <f t="shared" si="24"/>
        <v>68422.266160337735</v>
      </c>
      <c r="H35" s="458">
        <f t="shared" si="24"/>
        <v>67633.399240506595</v>
      </c>
      <c r="I35" s="458">
        <f t="shared" si="24"/>
        <v>66844.532320675469</v>
      </c>
      <c r="J35" s="458">
        <f>TAK!F8*1000</f>
        <v>66055.665400844329</v>
      </c>
      <c r="K35" s="458">
        <f>$J35+($O35-$J35)/5*(K$4-$J$4)</f>
        <v>64774.510043077178</v>
      </c>
      <c r="L35" s="458">
        <f t="shared" si="25"/>
        <v>63493.354685310027</v>
      </c>
      <c r="M35" s="458">
        <f t="shared" si="25"/>
        <v>62212.199327542883</v>
      </c>
      <c r="N35" s="458">
        <f t="shared" si="25"/>
        <v>60931.043969775732</v>
      </c>
      <c r="O35" s="458">
        <f>TAK!G8*1000</f>
        <v>59649.888612008581</v>
      </c>
      <c r="P35" s="458">
        <f>$O35+($T35-$O35)/5*(P$4-$O$4)</f>
        <v>59729.304198216509</v>
      </c>
      <c r="Q35" s="458">
        <f t="shared" si="26"/>
        <v>59808.719784424437</v>
      </c>
      <c r="R35" s="458">
        <f t="shared" si="26"/>
        <v>59888.135370632357</v>
      </c>
      <c r="S35" s="458">
        <f t="shared" si="26"/>
        <v>59967.550956840285</v>
      </c>
      <c r="T35" s="458">
        <f>TAK!H8*1000</f>
        <v>60046.966543048213</v>
      </c>
      <c r="U35" s="458">
        <f>TAK!I8*1000</f>
        <v>60485.793601192177</v>
      </c>
      <c r="V35" s="741">
        <f>TAK!J8*1000</f>
        <v>60903.059915013109</v>
      </c>
      <c r="W35" s="741">
        <f>TAK!K8*1000</f>
        <v>61300.31638980451</v>
      </c>
      <c r="X35" s="741">
        <f>TAK!L8*1000</f>
        <v>61678.968667791043</v>
      </c>
      <c r="Y35" s="223"/>
      <c r="Z35" s="223" t="str">
        <f>TAK!N8</f>
        <v>Proportsionaalne sõiduautode läbisõidu kasvuga, investeeringud tingib läbilaskvuse tõstmise vajadus</v>
      </c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</row>
    <row r="36" spans="1:37">
      <c r="A36" s="127"/>
      <c r="B36" s="227" t="str">
        <f>TAK!B9</f>
        <v>KOV teedele</v>
      </c>
      <c r="C36" s="700"/>
      <c r="D36" s="223"/>
      <c r="E36" s="458">
        <f>TAK!E9*1000</f>
        <v>16936.849093538822</v>
      </c>
      <c r="F36" s="458">
        <f>$E36+($J36-$E36)/5*(F$4-$E$4)</f>
        <v>17429.380463638547</v>
      </c>
      <c r="G36" s="458">
        <f t="shared" si="24"/>
        <v>17921.911833738272</v>
      </c>
      <c r="H36" s="458">
        <f t="shared" si="24"/>
        <v>18414.443203837993</v>
      </c>
      <c r="I36" s="458">
        <f t="shared" si="24"/>
        <v>18906.974573937718</v>
      </c>
      <c r="J36" s="458">
        <f>TAK!F9*1000</f>
        <v>19399.505944037443</v>
      </c>
      <c r="K36" s="458">
        <f>$J36+($O36-$J36)/5*(K$4-$J$4)</f>
        <v>19718.946625509656</v>
      </c>
      <c r="L36" s="458">
        <f t="shared" si="25"/>
        <v>20038.387306981869</v>
      </c>
      <c r="M36" s="458">
        <f t="shared" si="25"/>
        <v>20357.827988454083</v>
      </c>
      <c r="N36" s="458">
        <f t="shared" si="25"/>
        <v>20677.268669926296</v>
      </c>
      <c r="O36" s="458">
        <f>TAK!G9*1000</f>
        <v>20996.709351398509</v>
      </c>
      <c r="P36" s="458">
        <f>$O36+($T36-$O36)/5*(P$4-$O$4)</f>
        <v>21316.150032870722</v>
      </c>
      <c r="Q36" s="458">
        <f t="shared" si="26"/>
        <v>21635.590714342936</v>
      </c>
      <c r="R36" s="458">
        <f t="shared" si="26"/>
        <v>21955.031395815149</v>
      </c>
      <c r="S36" s="458">
        <f t="shared" si="26"/>
        <v>22274.472077287362</v>
      </c>
      <c r="T36" s="458">
        <f>TAK!H9*1000</f>
        <v>22593.912758759576</v>
      </c>
      <c r="U36" s="458">
        <f>TAK!I9*1000</f>
        <v>23347.026262626932</v>
      </c>
      <c r="V36" s="741">
        <f>TAK!J9*1000</f>
        <v>24100.139766494296</v>
      </c>
      <c r="W36" s="741">
        <f>TAK!K9*1000</f>
        <v>24853.253270361656</v>
      </c>
      <c r="X36" s="741">
        <f>TAK!L9*1000</f>
        <v>25606.366774229009</v>
      </c>
      <c r="Y36" s="223"/>
      <c r="Z36" s="223" t="str">
        <f>TAK!N9</f>
        <v>Proportsionaalne sõiduautode läbisõidu kasvuga, investeeringud tingib läbilaskvuse tõstmise vajadus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</row>
    <row r="37" spans="1:37">
      <c r="A37" s="127"/>
      <c r="B37" s="217" t="str">
        <f>TAK!B10</f>
        <v>Raudteed</v>
      </c>
      <c r="C37" s="699"/>
      <c r="D37" s="218"/>
      <c r="E37" s="457">
        <f>SUM(E38:E39)</f>
        <v>0</v>
      </c>
      <c r="F37" s="457">
        <f t="shared" ref="F37:T37" si="27">SUM(F38:F39)</f>
        <v>0</v>
      </c>
      <c r="G37" s="457">
        <f t="shared" si="27"/>
        <v>0</v>
      </c>
      <c r="H37" s="457">
        <f t="shared" si="27"/>
        <v>0</v>
      </c>
      <c r="I37" s="457">
        <f t="shared" si="27"/>
        <v>0</v>
      </c>
      <c r="J37" s="457">
        <f t="shared" si="27"/>
        <v>0</v>
      </c>
      <c r="K37" s="457">
        <f t="shared" si="27"/>
        <v>0</v>
      </c>
      <c r="L37" s="457">
        <f t="shared" si="27"/>
        <v>0</v>
      </c>
      <c r="M37" s="457">
        <f t="shared" si="27"/>
        <v>0</v>
      </c>
      <c r="N37" s="457">
        <f t="shared" si="27"/>
        <v>0</v>
      </c>
      <c r="O37" s="457">
        <f t="shared" si="27"/>
        <v>26000</v>
      </c>
      <c r="P37" s="457">
        <f t="shared" si="27"/>
        <v>26000</v>
      </c>
      <c r="Q37" s="457">
        <f t="shared" si="27"/>
        <v>26000</v>
      </c>
      <c r="R37" s="457">
        <f t="shared" si="27"/>
        <v>26000</v>
      </c>
      <c r="S37" s="457">
        <f t="shared" si="27"/>
        <v>26000</v>
      </c>
      <c r="T37" s="457">
        <f t="shared" si="27"/>
        <v>26000</v>
      </c>
      <c r="U37" s="457">
        <f>TAK!I10*1000</f>
        <v>26000</v>
      </c>
      <c r="V37" s="740">
        <f>TAK!J10*1000</f>
        <v>26000</v>
      </c>
      <c r="W37" s="740">
        <f>TAK!K10*1000</f>
        <v>26000</v>
      </c>
      <c r="X37" s="740">
        <f>TAK!L10*1000</f>
        <v>26000</v>
      </c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</row>
    <row r="38" spans="1:37">
      <c r="A38" s="127"/>
      <c r="B38" s="228" t="str">
        <f>TAK!B11</f>
        <v>Rail Baltic</v>
      </c>
      <c r="C38" s="701"/>
      <c r="D38" s="229"/>
      <c r="E38" s="459">
        <f>TAK!E11*1000</f>
        <v>0</v>
      </c>
      <c r="F38" s="459"/>
      <c r="G38" s="459"/>
      <c r="H38" s="459"/>
      <c r="I38" s="459"/>
      <c r="J38" s="459">
        <f>TAK!F11*1000</f>
        <v>0</v>
      </c>
      <c r="K38" s="459"/>
      <c r="L38" s="459"/>
      <c r="M38" s="459"/>
      <c r="N38" s="459"/>
      <c r="O38" s="459">
        <f>TAK!G11*1000</f>
        <v>26000</v>
      </c>
      <c r="P38" s="458">
        <f>$O38+($T38-$O38)/5*(P$4-$O$4)</f>
        <v>26000</v>
      </c>
      <c r="Q38" s="458">
        <f t="shared" si="26"/>
        <v>26000</v>
      </c>
      <c r="R38" s="458">
        <f t="shared" si="26"/>
        <v>26000</v>
      </c>
      <c r="S38" s="458">
        <f t="shared" si="26"/>
        <v>26000</v>
      </c>
      <c r="T38" s="459">
        <f>TAK!H11*1000</f>
        <v>26000</v>
      </c>
      <c r="U38" s="459">
        <f>TAK!I11*1000</f>
        <v>26000</v>
      </c>
      <c r="V38" s="742">
        <f>TAK!J11*1000</f>
        <v>26000</v>
      </c>
      <c r="W38" s="742">
        <f>TAK!K11*1000</f>
        <v>26000</v>
      </c>
      <c r="X38" s="742">
        <f>TAK!L11*1000</f>
        <v>26000</v>
      </c>
      <c r="Y38" s="223"/>
      <c r="Z38" s="223" t="str">
        <f>TAK!N11</f>
        <v>Ühekordne investeering 1040, jaotatud 40 aasta peale</v>
      </c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</row>
    <row r="39" spans="1:37">
      <c r="A39" s="127"/>
      <c r="B39" s="228" t="str">
        <f>TAK!B12</f>
        <v>Muud investeeringud</v>
      </c>
      <c r="C39" s="701"/>
      <c r="D39" s="229"/>
      <c r="E39" s="459">
        <f>TAK!E12*1000</f>
        <v>0</v>
      </c>
      <c r="F39" s="459"/>
      <c r="G39" s="459"/>
      <c r="H39" s="459"/>
      <c r="I39" s="459"/>
      <c r="J39" s="459">
        <f>TAK!F12*1000</f>
        <v>0</v>
      </c>
      <c r="K39" s="459"/>
      <c r="L39" s="459"/>
      <c r="M39" s="459"/>
      <c r="N39" s="459"/>
      <c r="O39" s="459">
        <f>TAK!G12*1000</f>
        <v>0</v>
      </c>
      <c r="P39" s="459"/>
      <c r="Q39" s="459"/>
      <c r="R39" s="459"/>
      <c r="S39" s="459"/>
      <c r="T39" s="459">
        <f>TAK!H12*1000</f>
        <v>0</v>
      </c>
      <c r="U39" s="459">
        <f>TAK!I12*1000</f>
        <v>0</v>
      </c>
      <c r="V39" s="742">
        <f>TAK!J12*1000</f>
        <v>0</v>
      </c>
      <c r="W39" s="742">
        <f>TAK!K12*1000</f>
        <v>0</v>
      </c>
      <c r="X39" s="742">
        <f>TAK!L12*1000</f>
        <v>0</v>
      </c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</row>
    <row r="40" spans="1:37">
      <c r="A40" s="127"/>
      <c r="B40" s="217" t="str">
        <f>TAK!B13</f>
        <v>Autode import</v>
      </c>
      <c r="C40" s="699"/>
      <c r="D40" s="218"/>
      <c r="E40" s="457">
        <f t="shared" ref="E40:S40" si="28">SUM(E41:E44)</f>
        <v>655774.92307692312</v>
      </c>
      <c r="F40" s="457">
        <f t="shared" si="28"/>
        <v>651484.97974358988</v>
      </c>
      <c r="G40" s="457">
        <f t="shared" si="28"/>
        <v>647195.03641025652</v>
      </c>
      <c r="H40" s="457">
        <f t="shared" si="28"/>
        <v>642905.09307692316</v>
      </c>
      <c r="I40" s="457">
        <f t="shared" si="28"/>
        <v>638615.14974358981</v>
      </c>
      <c r="J40" s="457">
        <f t="shared" si="28"/>
        <v>634325.20641025645</v>
      </c>
      <c r="K40" s="457">
        <f t="shared" si="28"/>
        <v>640790.75512820529</v>
      </c>
      <c r="L40" s="457">
        <f t="shared" si="28"/>
        <v>647256.3038461539</v>
      </c>
      <c r="M40" s="457">
        <f t="shared" si="28"/>
        <v>653721.85256410262</v>
      </c>
      <c r="N40" s="457">
        <f t="shared" si="28"/>
        <v>660187.40128205123</v>
      </c>
      <c r="O40" s="457">
        <f t="shared" si="28"/>
        <v>666652.94999999995</v>
      </c>
      <c r="P40" s="457">
        <f t="shared" si="28"/>
        <v>668199.06923076918</v>
      </c>
      <c r="Q40" s="457">
        <f t="shared" si="28"/>
        <v>669745.1884615384</v>
      </c>
      <c r="R40" s="457">
        <f t="shared" si="28"/>
        <v>671291.30769230763</v>
      </c>
      <c r="S40" s="457">
        <f t="shared" si="28"/>
        <v>672837.42692307697</v>
      </c>
      <c r="T40" s="457">
        <f>TAK!H13*1000</f>
        <v>674383.5461538462</v>
      </c>
      <c r="U40" s="457">
        <f>TAK!I13*1000</f>
        <v>697605.72435897449</v>
      </c>
      <c r="V40" s="740">
        <f>TAK!J13*1000</f>
        <v>692951.28205128212</v>
      </c>
      <c r="W40" s="740">
        <f>TAK!K13*1000</f>
        <v>683587.90705128212</v>
      </c>
      <c r="X40" s="740">
        <f>TAK!L13*1000</f>
        <v>683979.15705128212</v>
      </c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</row>
    <row r="41" spans="1:37">
      <c r="A41" s="127"/>
      <c r="B41" s="227" t="str">
        <f>TAK!B14</f>
        <v>Uued siseturule (eraisikud)</v>
      </c>
      <c r="C41" s="700"/>
      <c r="D41" s="223"/>
      <c r="E41" s="458">
        <f>TAK!E14*1000</f>
        <v>135765.30769230772</v>
      </c>
      <c r="F41" s="458">
        <f>$E41+($J41-$E41)/5*(F$4-$E$4)</f>
        <v>137629.11435897439</v>
      </c>
      <c r="G41" s="458">
        <f t="shared" ref="G41:I44" si="29">$E41+($J41-$E41)/5*(G$4-$E$4)</f>
        <v>139492.92102564106</v>
      </c>
      <c r="H41" s="458">
        <f t="shared" si="29"/>
        <v>141356.72769230773</v>
      </c>
      <c r="I41" s="458">
        <f t="shared" si="29"/>
        <v>143220.5343589744</v>
      </c>
      <c r="J41" s="458">
        <f>TAK!F14*1000</f>
        <v>145084.34102564107</v>
      </c>
      <c r="K41" s="458">
        <f t="shared" ref="K41:N44" si="30">$J41+($O41-$J41)/5*(K$4-$J$4)</f>
        <v>149408.06282051286</v>
      </c>
      <c r="L41" s="458">
        <f t="shared" si="30"/>
        <v>153731.78461538465</v>
      </c>
      <c r="M41" s="458">
        <f t="shared" si="30"/>
        <v>158055.50641025641</v>
      </c>
      <c r="N41" s="458">
        <f t="shared" si="30"/>
        <v>162379.22820512819</v>
      </c>
      <c r="O41" s="458">
        <f>TAK!G14*1000</f>
        <v>166702.94999999998</v>
      </c>
      <c r="P41" s="458">
        <f t="shared" ref="P41:S44" si="31">$O41+($T41-$O41)/5*(P$4-$O$4)</f>
        <v>168876.47307692305</v>
      </c>
      <c r="Q41" s="458">
        <f t="shared" si="31"/>
        <v>171049.99615384615</v>
      </c>
      <c r="R41" s="458">
        <f t="shared" si="31"/>
        <v>173223.51923076922</v>
      </c>
      <c r="S41" s="458">
        <f t="shared" si="31"/>
        <v>175397.04230769232</v>
      </c>
      <c r="T41" s="458">
        <f>TAK!H14*1000</f>
        <v>177570.56538461539</v>
      </c>
      <c r="U41" s="458">
        <f>TAK!I14*1000</f>
        <v>197006.68589743591</v>
      </c>
      <c r="V41" s="741">
        <f>TAK!J14*1000</f>
        <v>203796.95512820515</v>
      </c>
      <c r="W41" s="741">
        <f>TAK!K14*1000</f>
        <v>203996.08012820518</v>
      </c>
      <c r="X41" s="741">
        <f>TAK!L14*1000</f>
        <v>204387.33012820515</v>
      </c>
      <c r="Y41" s="223"/>
      <c r="Z41" s="223" t="str">
        <f>TAK!N14</f>
        <v>Proportsionaalne sõiduautode läbisõidu kasvuga, investeeringud tingib läbilaskvuse tõstmise vajadus</v>
      </c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</row>
    <row r="42" spans="1:37">
      <c r="A42" s="127"/>
      <c r="B42" s="227" t="str">
        <f>TAK!B15</f>
        <v>Uued siseturule (ettevõtted)</v>
      </c>
      <c r="C42" s="700"/>
      <c r="D42" s="223"/>
      <c r="E42" s="458">
        <f>TAK!E15*1000</f>
        <v>271384.61538461543</v>
      </c>
      <c r="F42" s="458">
        <f>$E42+($J42-$E42)/5*(F$4-$E$4)</f>
        <v>274984.61538461543</v>
      </c>
      <c r="G42" s="458">
        <f t="shared" si="29"/>
        <v>278584.61538461543</v>
      </c>
      <c r="H42" s="458">
        <f t="shared" si="29"/>
        <v>282184.61538461543</v>
      </c>
      <c r="I42" s="458">
        <f t="shared" si="29"/>
        <v>285784.61538461543</v>
      </c>
      <c r="J42" s="458">
        <f>TAK!F15*1000</f>
        <v>289384.61538461543</v>
      </c>
      <c r="K42" s="458">
        <f t="shared" si="30"/>
        <v>296307.69230769237</v>
      </c>
      <c r="L42" s="458">
        <f t="shared" si="30"/>
        <v>303230.76923076925</v>
      </c>
      <c r="M42" s="458">
        <f t="shared" si="30"/>
        <v>310153.84615384619</v>
      </c>
      <c r="N42" s="458">
        <f t="shared" si="30"/>
        <v>317076.92307692306</v>
      </c>
      <c r="O42" s="458">
        <f>TAK!G15*1000</f>
        <v>324000</v>
      </c>
      <c r="P42" s="458">
        <f t="shared" si="31"/>
        <v>328153.84615384613</v>
      </c>
      <c r="Q42" s="458">
        <f t="shared" si="31"/>
        <v>332307.69230769231</v>
      </c>
      <c r="R42" s="458">
        <f t="shared" si="31"/>
        <v>336461.53846153844</v>
      </c>
      <c r="S42" s="458">
        <f t="shared" si="31"/>
        <v>340615.38461538462</v>
      </c>
      <c r="T42" s="458">
        <f>TAK!H15*1000</f>
        <v>344769.23076923075</v>
      </c>
      <c r="U42" s="458">
        <f>TAK!I15*1000</f>
        <v>372461.5384615385</v>
      </c>
      <c r="V42" s="741">
        <f>TAK!J15*1000</f>
        <v>384923.07692307688</v>
      </c>
      <c r="W42" s="741">
        <f>TAK!K15*1000</f>
        <v>384923.07692307688</v>
      </c>
      <c r="X42" s="741">
        <f>TAK!L15*1000</f>
        <v>384923.07692307688</v>
      </c>
      <c r="Y42" s="223"/>
      <c r="Z42" s="223" t="str">
        <f>TAK!N15</f>
        <v>Proportsionaalne sõiduautode läbisõidu kasvuga, investeeringud tingib läbilaskvuse tõstmise vajadus</v>
      </c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</row>
    <row r="43" spans="1:37">
      <c r="A43" s="127"/>
      <c r="B43" s="227" t="str">
        <f>TAK!B16</f>
        <v>Kasutatud siseturule (eraisikud)</v>
      </c>
      <c r="C43" s="700"/>
      <c r="D43" s="223"/>
      <c r="E43" s="458">
        <f>TAK!E16*1000</f>
        <v>175500</v>
      </c>
      <c r="F43" s="458">
        <f>$E43+($J43-$E43)/5*(F$4-$E$4)</f>
        <v>168615</v>
      </c>
      <c r="G43" s="458">
        <f t="shared" si="29"/>
        <v>161730</v>
      </c>
      <c r="H43" s="458">
        <f t="shared" si="29"/>
        <v>154845</v>
      </c>
      <c r="I43" s="458">
        <f t="shared" si="29"/>
        <v>147960</v>
      </c>
      <c r="J43" s="458">
        <f>TAK!F16*1000</f>
        <v>141075</v>
      </c>
      <c r="K43" s="458">
        <f t="shared" si="30"/>
        <v>137700</v>
      </c>
      <c r="L43" s="458">
        <f t="shared" si="30"/>
        <v>134325</v>
      </c>
      <c r="M43" s="458">
        <f t="shared" si="30"/>
        <v>130950</v>
      </c>
      <c r="N43" s="458">
        <f t="shared" si="30"/>
        <v>127575</v>
      </c>
      <c r="O43" s="458">
        <f>TAK!G16*1000</f>
        <v>124200</v>
      </c>
      <c r="P43" s="458">
        <f t="shared" si="31"/>
        <v>120825</v>
      </c>
      <c r="Q43" s="458">
        <f t="shared" si="31"/>
        <v>117450</v>
      </c>
      <c r="R43" s="458">
        <f t="shared" si="31"/>
        <v>114075</v>
      </c>
      <c r="S43" s="458">
        <f t="shared" si="31"/>
        <v>110700</v>
      </c>
      <c r="T43" s="458">
        <f>TAK!H16*1000</f>
        <v>107325</v>
      </c>
      <c r="U43" s="458">
        <f>TAK!I16*1000</f>
        <v>90450</v>
      </c>
      <c r="V43" s="741">
        <f>TAK!J16*1000</f>
        <v>73575</v>
      </c>
      <c r="W43" s="741">
        <f>TAK!K16*1000</f>
        <v>66825</v>
      </c>
      <c r="X43" s="741">
        <f>TAK!L16*1000</f>
        <v>66825</v>
      </c>
      <c r="Y43" s="223"/>
      <c r="Z43" s="223" t="str">
        <f>TAK!N16</f>
        <v>Proportsionaalne sõiduautode läbisõidu kasvuga, investeeringud tingib läbilaskvuse tõstmise vajadus</v>
      </c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</row>
    <row r="44" spans="1:37">
      <c r="A44" s="127"/>
      <c r="B44" s="227" t="str">
        <f>TAK!B17</f>
        <v>Kasutatud siseturule (ettevõtted)</v>
      </c>
      <c r="C44" s="700"/>
      <c r="D44" s="223"/>
      <c r="E44" s="458">
        <f>TAK!E17*1000</f>
        <v>73125</v>
      </c>
      <c r="F44" s="458">
        <f>$E44+($J44-$E44)/5*(F$4-$E$4)</f>
        <v>70256.25</v>
      </c>
      <c r="G44" s="458">
        <f t="shared" si="29"/>
        <v>67387.5</v>
      </c>
      <c r="H44" s="458">
        <f t="shared" si="29"/>
        <v>64518.75</v>
      </c>
      <c r="I44" s="458">
        <f t="shared" si="29"/>
        <v>61650</v>
      </c>
      <c r="J44" s="458">
        <f>TAK!F17*1000</f>
        <v>58781.25</v>
      </c>
      <c r="K44" s="458">
        <f t="shared" si="30"/>
        <v>57375</v>
      </c>
      <c r="L44" s="458">
        <f t="shared" si="30"/>
        <v>55968.75</v>
      </c>
      <c r="M44" s="458">
        <f t="shared" si="30"/>
        <v>54562.5</v>
      </c>
      <c r="N44" s="458">
        <f t="shared" si="30"/>
        <v>53156.25</v>
      </c>
      <c r="O44" s="458">
        <f>TAK!G17*1000</f>
        <v>51750</v>
      </c>
      <c r="P44" s="458">
        <f t="shared" si="31"/>
        <v>50343.75</v>
      </c>
      <c r="Q44" s="458">
        <f t="shared" si="31"/>
        <v>48937.5</v>
      </c>
      <c r="R44" s="458">
        <f t="shared" si="31"/>
        <v>47531.25</v>
      </c>
      <c r="S44" s="458">
        <f t="shared" si="31"/>
        <v>46125</v>
      </c>
      <c r="T44" s="458">
        <f>TAK!H17*1000</f>
        <v>44718.75</v>
      </c>
      <c r="U44" s="458">
        <f>TAK!I17*1000</f>
        <v>37687.5</v>
      </c>
      <c r="V44" s="741">
        <f>TAK!J17*1000</f>
        <v>30656.25</v>
      </c>
      <c r="W44" s="741">
        <f>TAK!K17*1000</f>
        <v>27843.75</v>
      </c>
      <c r="X44" s="741">
        <f>TAK!L17*1000</f>
        <v>27843.75</v>
      </c>
      <c r="Y44" s="223"/>
      <c r="Z44" s="223" t="str">
        <f>TAK!N17</f>
        <v>Proportsionaalne sõiduautode läbisõidu kasvuga, investeeringud tingib läbilaskvuse tõstmise vajadus</v>
      </c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</row>
    <row r="45" spans="1:37">
      <c r="A45" s="127"/>
      <c r="B45" s="213" t="str">
        <f>TAK!B18</f>
        <v>Hooldus ja remont</v>
      </c>
      <c r="C45" s="702">
        <v>1000</v>
      </c>
      <c r="D45" s="213"/>
      <c r="E45" s="456">
        <f>SUM(E46,E49,E53)</f>
        <v>495357.86597364157</v>
      </c>
      <c r="F45" s="456">
        <f t="shared" ref="F45:T45" si="32">SUM(F46,F49,F53)</f>
        <v>505603.38345362642</v>
      </c>
      <c r="G45" s="456">
        <f t="shared" si="32"/>
        <v>515848.90093361132</v>
      </c>
      <c r="H45" s="456">
        <f t="shared" si="32"/>
        <v>526094.41841359611</v>
      </c>
      <c r="I45" s="456">
        <f t="shared" si="32"/>
        <v>536339.93589358102</v>
      </c>
      <c r="J45" s="456">
        <f t="shared" si="32"/>
        <v>546585.4533735658</v>
      </c>
      <c r="K45" s="456">
        <f t="shared" si="32"/>
        <v>555684.22472902993</v>
      </c>
      <c r="L45" s="456">
        <f t="shared" si="32"/>
        <v>564782.99608449393</v>
      </c>
      <c r="M45" s="456">
        <f t="shared" si="32"/>
        <v>573881.76743995794</v>
      </c>
      <c r="N45" s="456">
        <f t="shared" si="32"/>
        <v>582980.53879542195</v>
      </c>
      <c r="O45" s="456">
        <f t="shared" si="32"/>
        <v>595583.0248953423</v>
      </c>
      <c r="P45" s="456">
        <f t="shared" si="32"/>
        <v>603308.24993178702</v>
      </c>
      <c r="Q45" s="456">
        <f t="shared" si="32"/>
        <v>611033.47496823187</v>
      </c>
      <c r="R45" s="456">
        <f t="shared" si="32"/>
        <v>618758.70000467659</v>
      </c>
      <c r="S45" s="456">
        <f t="shared" si="32"/>
        <v>626483.92504112143</v>
      </c>
      <c r="T45" s="456">
        <f t="shared" si="32"/>
        <v>634209.15007756616</v>
      </c>
      <c r="U45" s="456">
        <f>TAK!I18*1000</f>
        <v>653937.62735933904</v>
      </c>
      <c r="V45" s="743">
        <f>TAK!J18*1000</f>
        <v>671463.2446411117</v>
      </c>
      <c r="W45" s="743">
        <f>TAK!K18*1000</f>
        <v>685527.89792288467</v>
      </c>
      <c r="X45" s="743">
        <f>TAK!L18*1000</f>
        <v>699366.49300465756</v>
      </c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1:37">
      <c r="A46" s="127"/>
      <c r="B46" s="217" t="str">
        <f>TAK!B19</f>
        <v>Maanteed ja tänavad</v>
      </c>
      <c r="C46" s="699"/>
      <c r="D46" s="218"/>
      <c r="E46" s="457">
        <f>SUM(E47:E48)</f>
        <v>205605.27364030824</v>
      </c>
      <c r="F46" s="457">
        <f t="shared" ref="F46:T46" si="33">SUM(F47:F48)</f>
        <v>205017.24767495974</v>
      </c>
      <c r="G46" s="457">
        <f t="shared" si="33"/>
        <v>204429.22170961124</v>
      </c>
      <c r="H46" s="457">
        <f t="shared" si="33"/>
        <v>203841.19574426275</v>
      </c>
      <c r="I46" s="457">
        <f t="shared" si="33"/>
        <v>203253.16977891425</v>
      </c>
      <c r="J46" s="457">
        <f t="shared" si="33"/>
        <v>202665.14381356575</v>
      </c>
      <c r="K46" s="457">
        <f t="shared" si="33"/>
        <v>206801.77908860781</v>
      </c>
      <c r="L46" s="457">
        <f t="shared" si="33"/>
        <v>210938.41436364991</v>
      </c>
      <c r="M46" s="457">
        <f t="shared" si="33"/>
        <v>215075.049638692</v>
      </c>
      <c r="N46" s="457">
        <f t="shared" si="33"/>
        <v>219211.68491373406</v>
      </c>
      <c r="O46" s="457">
        <f t="shared" si="33"/>
        <v>223348.32018877612</v>
      </c>
      <c r="P46" s="457">
        <f t="shared" si="33"/>
        <v>227742.79728641582</v>
      </c>
      <c r="Q46" s="457">
        <f t="shared" si="33"/>
        <v>232137.27438405552</v>
      </c>
      <c r="R46" s="457">
        <f t="shared" si="33"/>
        <v>236531.75148169522</v>
      </c>
      <c r="S46" s="457">
        <f t="shared" si="33"/>
        <v>240926.22857933494</v>
      </c>
      <c r="T46" s="457">
        <f t="shared" si="33"/>
        <v>245320.70567697464</v>
      </c>
      <c r="U46" s="457">
        <f>TAK!I19*1000</f>
        <v>250148.23988411599</v>
      </c>
      <c r="V46" s="740">
        <f>TAK!J19*1000</f>
        <v>254975.77409125731</v>
      </c>
      <c r="W46" s="740">
        <f>TAK!K19*1000</f>
        <v>259803.30829839862</v>
      </c>
      <c r="X46" s="740">
        <f>TAK!L19*1000</f>
        <v>264630.84250554006</v>
      </c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</row>
    <row r="47" spans="1:37">
      <c r="B47" s="227" t="str">
        <f>TAK!B20</f>
        <v>Riik maanteedele</v>
      </c>
      <c r="C47" s="700"/>
      <c r="D47" s="223"/>
      <c r="E47" s="458">
        <f>TAK!E20*1000</f>
        <v>161000</v>
      </c>
      <c r="F47" s="458">
        <f t="shared" ref="F47:I48" si="34">$E47+($J47-$E47)/5*(F$4-$E$4)</f>
        <v>159915.69501776615</v>
      </c>
      <c r="G47" s="458">
        <f t="shared" si="34"/>
        <v>158831.3900355323</v>
      </c>
      <c r="H47" s="458">
        <f t="shared" si="34"/>
        <v>157747.08505329845</v>
      </c>
      <c r="I47" s="458">
        <f t="shared" si="34"/>
        <v>156662.7800710646</v>
      </c>
      <c r="J47" s="458">
        <f>TAK!F20*1000</f>
        <v>155578.47508883075</v>
      </c>
      <c r="K47" s="458">
        <f t="shared" ref="K47:N48" si="35">$J47+($O47-$J47)/5*(K$4-$J$4)</f>
        <v>159218.83134698746</v>
      </c>
      <c r="L47" s="458">
        <f t="shared" si="35"/>
        <v>162859.18760514416</v>
      </c>
      <c r="M47" s="458">
        <f t="shared" si="35"/>
        <v>166499.5438633009</v>
      </c>
      <c r="N47" s="458">
        <f t="shared" si="35"/>
        <v>170139.90012145761</v>
      </c>
      <c r="O47" s="458">
        <f>TAK!G20*1000</f>
        <v>173780.25637961432</v>
      </c>
      <c r="P47" s="458">
        <f t="shared" ref="P47:S48" si="36">$O47+($T47-$O47)/5*(P$4-$O$4)</f>
        <v>177420.61263777103</v>
      </c>
      <c r="Q47" s="458">
        <f t="shared" si="36"/>
        <v>181060.96889592777</v>
      </c>
      <c r="R47" s="458">
        <f t="shared" si="36"/>
        <v>184701.32515408448</v>
      </c>
      <c r="S47" s="458">
        <f t="shared" si="36"/>
        <v>188341.68141224122</v>
      </c>
      <c r="T47" s="458">
        <f>TAK!H20*1000</f>
        <v>191982.03767039793</v>
      </c>
      <c r="U47" s="458">
        <f>TAK!I20*1000</f>
        <v>195031.65622463948</v>
      </c>
      <c r="V47" s="741">
        <f>TAK!J20*1000</f>
        <v>198081.27477888105</v>
      </c>
      <c r="W47" s="741">
        <f>TAK!K20*1000</f>
        <v>201130.89333312257</v>
      </c>
      <c r="X47" s="741">
        <f>TAK!L20*1000</f>
        <v>204180.51188736418</v>
      </c>
      <c r="Y47" s="223"/>
      <c r="Z47" s="223" t="str">
        <f>TAK!N20</f>
        <v>Proportsionaalne veoautode tonnkilomeetrite kasvuga, normteljed määravad katendi eluea</v>
      </c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</row>
    <row r="48" spans="1:37">
      <c r="A48" s="127"/>
      <c r="B48" s="227" t="str">
        <f>TAK!B21</f>
        <v>KOV</v>
      </c>
      <c r="C48" s="700"/>
      <c r="D48" s="223"/>
      <c r="E48" s="458">
        <f>TAK!E21*1000</f>
        <v>44605.273640308224</v>
      </c>
      <c r="F48" s="458">
        <f t="shared" si="34"/>
        <v>45101.552657193584</v>
      </c>
      <c r="G48" s="458">
        <f t="shared" si="34"/>
        <v>45597.831674078938</v>
      </c>
      <c r="H48" s="458">
        <f t="shared" si="34"/>
        <v>46094.110690964299</v>
      </c>
      <c r="I48" s="458">
        <f t="shared" si="34"/>
        <v>46590.389707849652</v>
      </c>
      <c r="J48" s="458">
        <f>TAK!F21*1000</f>
        <v>47086.668724735013</v>
      </c>
      <c r="K48" s="458">
        <f t="shared" si="35"/>
        <v>47582.947741620374</v>
      </c>
      <c r="L48" s="458">
        <f t="shared" si="35"/>
        <v>48079.226758505727</v>
      </c>
      <c r="M48" s="458">
        <f t="shared" si="35"/>
        <v>48575.505775391088</v>
      </c>
      <c r="N48" s="458">
        <f t="shared" si="35"/>
        <v>49071.784792276441</v>
      </c>
      <c r="O48" s="458">
        <f>TAK!G21*1000</f>
        <v>49568.063809161802</v>
      </c>
      <c r="P48" s="458">
        <f t="shared" si="36"/>
        <v>50322.184648644783</v>
      </c>
      <c r="Q48" s="458">
        <f t="shared" si="36"/>
        <v>51076.305488127764</v>
      </c>
      <c r="R48" s="458">
        <f t="shared" si="36"/>
        <v>51830.426327610752</v>
      </c>
      <c r="S48" s="458">
        <f t="shared" si="36"/>
        <v>52584.547167093733</v>
      </c>
      <c r="T48" s="458">
        <f>TAK!H21*1000</f>
        <v>53338.668006576714</v>
      </c>
      <c r="U48" s="458">
        <f>TAK!I21*1000</f>
        <v>55116.583659476491</v>
      </c>
      <c r="V48" s="741">
        <f>TAK!J21*1000</f>
        <v>56894.499312376269</v>
      </c>
      <c r="W48" s="741">
        <f>TAK!K21*1000</f>
        <v>58672.414965276068</v>
      </c>
      <c r="X48" s="741">
        <f>TAK!L21*1000</f>
        <v>60450.330618175838</v>
      </c>
      <c r="Y48" s="223"/>
      <c r="Z48" s="223" t="str">
        <f>TAK!N21</f>
        <v>Proportsionaalne sõiduautode läbisõidu kasvuga, suurema läbisõiduga kaasneb suurem remondi ja hoolduse vajadus</v>
      </c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</row>
    <row r="49" spans="1:37">
      <c r="A49" s="127"/>
      <c r="B49" s="217" t="str">
        <f>TAK!B22</f>
        <v>Raudteed</v>
      </c>
      <c r="C49" s="699"/>
      <c r="D49" s="218"/>
      <c r="E49" s="457">
        <f>SUM(E50:E52)</f>
        <v>17567.25</v>
      </c>
      <c r="F49" s="457">
        <f t="shared" ref="F49:T49" si="37">SUM(F50:F52)</f>
        <v>21567.25</v>
      </c>
      <c r="G49" s="457">
        <f t="shared" si="37"/>
        <v>25567.25</v>
      </c>
      <c r="H49" s="457">
        <f t="shared" si="37"/>
        <v>29567.25</v>
      </c>
      <c r="I49" s="457">
        <f t="shared" si="37"/>
        <v>33567.25</v>
      </c>
      <c r="J49" s="457">
        <f t="shared" si="37"/>
        <v>37567.25</v>
      </c>
      <c r="K49" s="457">
        <f t="shared" si="37"/>
        <v>38053.977956421964</v>
      </c>
      <c r="L49" s="457">
        <f t="shared" si="37"/>
        <v>38540.705912843921</v>
      </c>
      <c r="M49" s="457">
        <f t="shared" si="37"/>
        <v>39027.433869265886</v>
      </c>
      <c r="N49" s="457">
        <f t="shared" si="37"/>
        <v>39514.16182568785</v>
      </c>
      <c r="O49" s="457">
        <f t="shared" si="37"/>
        <v>43504.60452656608</v>
      </c>
      <c r="P49" s="457">
        <f t="shared" si="37"/>
        <v>43345.435581371159</v>
      </c>
      <c r="Q49" s="457">
        <f t="shared" si="37"/>
        <v>43186.266636176239</v>
      </c>
      <c r="R49" s="457">
        <f t="shared" si="37"/>
        <v>43027.097690981318</v>
      </c>
      <c r="S49" s="457">
        <f t="shared" si="37"/>
        <v>42867.928745786397</v>
      </c>
      <c r="T49" s="457">
        <f t="shared" si="37"/>
        <v>42708.75980059147</v>
      </c>
      <c r="U49" s="457">
        <f>TAK!I22*1000</f>
        <v>43014.950408556288</v>
      </c>
      <c r="V49" s="740">
        <f>TAK!J22*1000</f>
        <v>43321.141016521113</v>
      </c>
      <c r="W49" s="740">
        <f>TAK!K22*1000</f>
        <v>43627.331624485916</v>
      </c>
      <c r="X49" s="740">
        <f>TAK!L22*1000</f>
        <v>43933.522232450741</v>
      </c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</row>
    <row r="50" spans="1:37">
      <c r="B50" s="227" t="str">
        <f>TAK!B23</f>
        <v>Rail Baltic hooldus</v>
      </c>
      <c r="C50" s="700"/>
      <c r="D50" s="223"/>
      <c r="E50" s="458">
        <f>TAK!E23*1000</f>
        <v>0</v>
      </c>
      <c r="F50" s="458"/>
      <c r="G50" s="458"/>
      <c r="H50" s="458"/>
      <c r="I50" s="458"/>
      <c r="J50" s="458">
        <f>TAK!F23*1000</f>
        <v>0</v>
      </c>
      <c r="K50" s="458"/>
      <c r="L50" s="458"/>
      <c r="M50" s="458"/>
      <c r="N50" s="458"/>
      <c r="O50" s="458">
        <f>TAK!G23*1000</f>
        <v>3503.7147444562734</v>
      </c>
      <c r="P50" s="458">
        <f t="shared" ref="P50:S52" si="38">$O50+($T50-$O50)/5*(P$4-$O$4)</f>
        <v>3498.1558251631709</v>
      </c>
      <c r="Q50" s="458">
        <f t="shared" si="38"/>
        <v>3492.5969058700684</v>
      </c>
      <c r="R50" s="458">
        <f t="shared" si="38"/>
        <v>3487.0379865769664</v>
      </c>
      <c r="S50" s="458">
        <f t="shared" si="38"/>
        <v>3481.479067283864</v>
      </c>
      <c r="T50" s="458">
        <f>TAK!H23*1000</f>
        <v>3475.9201479907615</v>
      </c>
      <c r="U50" s="458">
        <f>TAK!I23*1000</f>
        <v>3531.1348477876954</v>
      </c>
      <c r="V50" s="741">
        <f>TAK!J23*1000</f>
        <v>3586.3495475846294</v>
      </c>
      <c r="W50" s="741">
        <f>TAK!K23*1000</f>
        <v>3641.5642473815637</v>
      </c>
      <c r="X50" s="741">
        <f>TAK!L23*1000</f>
        <v>3696.7789471784986</v>
      </c>
      <c r="Y50" s="223"/>
      <c r="Z50" s="223" t="str">
        <f>TAK!N23</f>
        <v>Proportsionaalne kaubavedude kasvuga, rohkem veotonne tingib suurema hooldusvajaduse</v>
      </c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</row>
    <row r="51" spans="1:37">
      <c r="B51" s="227" t="str">
        <f>TAK!B24</f>
        <v>Hooldus</v>
      </c>
      <c r="C51" s="700"/>
      <c r="D51" s="223"/>
      <c r="E51" s="458">
        <f>TAK!E24*1000</f>
        <v>15000</v>
      </c>
      <c r="F51" s="458">
        <f t="shared" ref="F51:I52" si="39">$E51+($J51-$E51)/5*(F$4-$E$4)</f>
        <v>15000</v>
      </c>
      <c r="G51" s="458">
        <f t="shared" si="39"/>
        <v>15000</v>
      </c>
      <c r="H51" s="458">
        <f t="shared" si="39"/>
        <v>15000</v>
      </c>
      <c r="I51" s="458">
        <f t="shared" si="39"/>
        <v>15000</v>
      </c>
      <c r="J51" s="458">
        <f>TAK!F24*1000</f>
        <v>15000</v>
      </c>
      <c r="K51" s="458">
        <f t="shared" ref="K51:N52" si="40">$J51+($O51-$J51)/5*(K$4-$J$4)</f>
        <v>15208.104831159486</v>
      </c>
      <c r="L51" s="458">
        <f t="shared" si="40"/>
        <v>15416.209662318972</v>
      </c>
      <c r="M51" s="458">
        <f t="shared" si="40"/>
        <v>15624.31449347846</v>
      </c>
      <c r="N51" s="458">
        <f t="shared" si="40"/>
        <v>15832.419324637945</v>
      </c>
      <c r="O51" s="458">
        <f>TAK!G24*1000</f>
        <v>16040.524155797431</v>
      </c>
      <c r="P51" s="458">
        <f t="shared" si="38"/>
        <v>15992.346731902273</v>
      </c>
      <c r="Q51" s="458">
        <f t="shared" si="38"/>
        <v>15944.169308007115</v>
      </c>
      <c r="R51" s="458">
        <f t="shared" si="38"/>
        <v>15895.991884111958</v>
      </c>
      <c r="S51" s="458">
        <f t="shared" si="38"/>
        <v>15847.814460216799</v>
      </c>
      <c r="T51" s="458">
        <f>TAK!H24*1000</f>
        <v>15799.637036321641</v>
      </c>
      <c r="U51" s="458">
        <f>TAK!I24*1000</f>
        <v>16050.612944489525</v>
      </c>
      <c r="V51" s="741">
        <f>TAK!J24*1000</f>
        <v>16301.588852657411</v>
      </c>
      <c r="W51" s="741">
        <f>TAK!K24*1000</f>
        <v>16552.564760825291</v>
      </c>
      <c r="X51" s="741">
        <f>TAK!L24*1000</f>
        <v>16803.540668993177</v>
      </c>
      <c r="Y51" s="223"/>
      <c r="Z51" s="223" t="str">
        <f>TAK!N24</f>
        <v>Proportsionaalne kaubavedude kasvuga, rohkem veotonne tingib suurema hooldusvajaduse</v>
      </c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</row>
    <row r="52" spans="1:37">
      <c r="B52" s="227" t="str">
        <f>TAK!B25</f>
        <v>Rekonstrueerimine</v>
      </c>
      <c r="C52" s="700"/>
      <c r="D52" s="223"/>
      <c r="E52" s="458">
        <f>TAK!E25*1000</f>
        <v>2567.2499999999995</v>
      </c>
      <c r="F52" s="458">
        <f t="shared" si="39"/>
        <v>6567.25</v>
      </c>
      <c r="G52" s="458">
        <f t="shared" si="39"/>
        <v>10567.25</v>
      </c>
      <c r="H52" s="458">
        <f t="shared" si="39"/>
        <v>14567.25</v>
      </c>
      <c r="I52" s="458">
        <f t="shared" si="39"/>
        <v>18567.25</v>
      </c>
      <c r="J52" s="458">
        <f>TAK!F25*1000</f>
        <v>22567.25</v>
      </c>
      <c r="K52" s="458">
        <f t="shared" si="40"/>
        <v>22845.873125262475</v>
      </c>
      <c r="L52" s="458">
        <f t="shared" si="40"/>
        <v>23124.49625052495</v>
      </c>
      <c r="M52" s="458">
        <f t="shared" si="40"/>
        <v>23403.119375787428</v>
      </c>
      <c r="N52" s="458">
        <f t="shared" si="40"/>
        <v>23681.742501049903</v>
      </c>
      <c r="O52" s="458">
        <f>TAK!G25*1000</f>
        <v>23960.365626312378</v>
      </c>
      <c r="P52" s="458">
        <f t="shared" si="38"/>
        <v>23854.933024305716</v>
      </c>
      <c r="Q52" s="458">
        <f t="shared" si="38"/>
        <v>23749.500422299054</v>
      </c>
      <c r="R52" s="458">
        <f t="shared" si="38"/>
        <v>23644.067820292392</v>
      </c>
      <c r="S52" s="458">
        <f t="shared" si="38"/>
        <v>23538.63521828573</v>
      </c>
      <c r="T52" s="458">
        <f>TAK!H25*1000</f>
        <v>23433.202616279068</v>
      </c>
      <c r="U52" s="458">
        <f>TAK!I25*1000</f>
        <v>23433.202616279068</v>
      </c>
      <c r="V52" s="741">
        <f>TAK!J25*1000</f>
        <v>23433.202616279068</v>
      </c>
      <c r="W52" s="741">
        <f>TAK!K25*1000</f>
        <v>23433.202616279068</v>
      </c>
      <c r="X52" s="741">
        <f>TAK!L25*1000</f>
        <v>23433.202616279068</v>
      </c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</row>
    <row r="53" spans="1:37" customFormat="1" ht="15.75">
      <c r="A53">
        <v>22</v>
      </c>
      <c r="B53" s="804" t="s">
        <v>288</v>
      </c>
      <c r="C53" s="702">
        <v>1000</v>
      </c>
      <c r="D53" s="805"/>
      <c r="E53" s="819">
        <f>SUM(E54:E56)</f>
        <v>272185.34233333333</v>
      </c>
      <c r="F53" s="819">
        <f t="shared" ref="F53:T53" si="41">SUM(F54:F56)</f>
        <v>279018.88577866671</v>
      </c>
      <c r="G53" s="819">
        <f t="shared" si="41"/>
        <v>285852.42922400008</v>
      </c>
      <c r="H53" s="819">
        <f t="shared" si="41"/>
        <v>292685.97266933339</v>
      </c>
      <c r="I53" s="819">
        <f t="shared" si="41"/>
        <v>299519.51611466671</v>
      </c>
      <c r="J53" s="819">
        <f t="shared" si="41"/>
        <v>306353.05956000002</v>
      </c>
      <c r="K53" s="819">
        <f t="shared" si="41"/>
        <v>310828.46768400009</v>
      </c>
      <c r="L53" s="819">
        <f t="shared" si="41"/>
        <v>315303.8758080001</v>
      </c>
      <c r="M53" s="819">
        <f t="shared" si="41"/>
        <v>319779.28393200005</v>
      </c>
      <c r="N53" s="819">
        <f t="shared" si="41"/>
        <v>324254.69205600006</v>
      </c>
      <c r="O53" s="819">
        <f t="shared" si="41"/>
        <v>328730.10018000007</v>
      </c>
      <c r="P53" s="819">
        <f t="shared" si="41"/>
        <v>332220.01706400001</v>
      </c>
      <c r="Q53" s="819">
        <f t="shared" si="41"/>
        <v>335709.93394800008</v>
      </c>
      <c r="R53" s="819">
        <f t="shared" si="41"/>
        <v>339199.85083200008</v>
      </c>
      <c r="S53" s="819">
        <f t="shared" si="41"/>
        <v>342689.76771600009</v>
      </c>
      <c r="T53" s="819">
        <f t="shared" si="41"/>
        <v>346179.68460000004</v>
      </c>
      <c r="U53" s="819">
        <f>SUM(U54:U56)</f>
        <v>360774.43706666672</v>
      </c>
      <c r="V53" s="819">
        <f>SUM(V54:V56)</f>
        <v>373166.32953333337</v>
      </c>
      <c r="W53" s="819">
        <f>SUM(W54:W56)</f>
        <v>382097.25800000003</v>
      </c>
      <c r="X53" s="819">
        <f>SUM(X54:X56)</f>
        <v>390802.12826666672</v>
      </c>
      <c r="Y53" s="808"/>
      <c r="Z53" s="809"/>
    </row>
    <row r="54" spans="1:37" customFormat="1" ht="15.75">
      <c r="A54">
        <v>23</v>
      </c>
      <c r="B54" s="806" t="s">
        <v>289</v>
      </c>
      <c r="C54" s="807"/>
      <c r="D54" s="807"/>
      <c r="E54" s="458">
        <f>TAK!E27*1000</f>
        <v>21596.274000000001</v>
      </c>
      <c r="F54" s="458">
        <f t="shared" ref="F54:I56" si="42">$E54+($J54-$E54)/5*(F$4-$E$4)</f>
        <v>21930.237000000001</v>
      </c>
      <c r="G54" s="458">
        <f t="shared" si="42"/>
        <v>22264.2</v>
      </c>
      <c r="H54" s="458">
        <f t="shared" si="42"/>
        <v>22598.163</v>
      </c>
      <c r="I54" s="458">
        <f t="shared" si="42"/>
        <v>22932.126</v>
      </c>
      <c r="J54" s="458">
        <f>TAK!F27*1000</f>
        <v>23266.089</v>
      </c>
      <c r="K54" s="458">
        <f t="shared" ref="K54:N56" si="43">$J54+($O54-$J54)/5*(K$4-$J$4)</f>
        <v>23822.694</v>
      </c>
      <c r="L54" s="458">
        <f t="shared" si="43"/>
        <v>24379.298999999999</v>
      </c>
      <c r="M54" s="458">
        <f t="shared" si="43"/>
        <v>24935.903999999999</v>
      </c>
      <c r="N54" s="458">
        <f t="shared" si="43"/>
        <v>25492.508999999998</v>
      </c>
      <c r="O54" s="458">
        <f>TAK!G27*1000</f>
        <v>26049.113999999998</v>
      </c>
      <c r="P54" s="458">
        <f t="shared" ref="P54:S56" si="44">$O54+($T54-$O54)/5*(P$4-$O$4)</f>
        <v>26383.076999999997</v>
      </c>
      <c r="Q54" s="458">
        <f t="shared" si="44"/>
        <v>26717.039999999997</v>
      </c>
      <c r="R54" s="458">
        <f t="shared" si="44"/>
        <v>27051.003000000001</v>
      </c>
      <c r="S54" s="458">
        <f t="shared" si="44"/>
        <v>27384.966</v>
      </c>
      <c r="T54" s="458">
        <f>TAK!H27*1000</f>
        <v>27718.929</v>
      </c>
      <c r="U54" s="458">
        <f>TAK!I27*1000</f>
        <v>29945.349000000002</v>
      </c>
      <c r="V54" s="741">
        <f>TAK!J27*1000</f>
        <v>30947.237999999998</v>
      </c>
      <c r="W54" s="741">
        <f>TAK!K27*1000</f>
        <v>30947.237999999998</v>
      </c>
      <c r="X54" s="741">
        <f>TAK!L27*1000</f>
        <v>30947.237999999998</v>
      </c>
      <c r="Y54" s="808"/>
      <c r="Z54" s="809"/>
    </row>
    <row r="55" spans="1:37" customFormat="1" ht="15.75">
      <c r="A55">
        <v>24</v>
      </c>
      <c r="B55" s="806" t="s">
        <v>290</v>
      </c>
      <c r="C55" s="807"/>
      <c r="D55" s="807"/>
      <c r="E55" s="458">
        <f>TAK!E28*1000</f>
        <v>250480.49600000001</v>
      </c>
      <c r="F55" s="458">
        <f t="shared" si="42"/>
        <v>256961.85200000001</v>
      </c>
      <c r="G55" s="458">
        <f t="shared" si="42"/>
        <v>263443.20800000004</v>
      </c>
      <c r="H55" s="458">
        <f t="shared" si="42"/>
        <v>269924.56400000007</v>
      </c>
      <c r="I55" s="458">
        <f t="shared" si="42"/>
        <v>276405.92000000004</v>
      </c>
      <c r="J55" s="458">
        <f>TAK!F28*1000</f>
        <v>282887.27600000007</v>
      </c>
      <c r="K55" s="458">
        <f t="shared" si="43"/>
        <v>286597.97600000008</v>
      </c>
      <c r="L55" s="458">
        <f t="shared" si="43"/>
        <v>290308.67600000009</v>
      </c>
      <c r="M55" s="458">
        <f t="shared" si="43"/>
        <v>294019.37600000005</v>
      </c>
      <c r="N55" s="458">
        <f t="shared" si="43"/>
        <v>297730.07600000006</v>
      </c>
      <c r="O55" s="458">
        <f>TAK!G28*1000</f>
        <v>301440.77600000007</v>
      </c>
      <c r="P55" s="458">
        <f t="shared" si="44"/>
        <v>304359.86000000004</v>
      </c>
      <c r="Q55" s="458">
        <f t="shared" si="44"/>
        <v>307278.94400000008</v>
      </c>
      <c r="R55" s="458">
        <f t="shared" si="44"/>
        <v>310198.02800000005</v>
      </c>
      <c r="S55" s="458">
        <f t="shared" si="44"/>
        <v>313117.11200000008</v>
      </c>
      <c r="T55" s="458">
        <f>TAK!H28*1000</f>
        <v>316036.19600000005</v>
      </c>
      <c r="U55" s="458">
        <f>TAK!I28*1000</f>
        <v>325931.39600000007</v>
      </c>
      <c r="V55" s="741">
        <f>TAK!J28*1000</f>
        <v>334688.64800000004</v>
      </c>
      <c r="W55" s="741">
        <f>TAK!K28*1000</f>
        <v>340873.14800000004</v>
      </c>
      <c r="X55" s="741">
        <f>TAK!L28*1000</f>
        <v>346810.26800000004</v>
      </c>
      <c r="Y55" s="808"/>
      <c r="Z55" s="809"/>
    </row>
    <row r="56" spans="1:37" customFormat="1" ht="15.75">
      <c r="A56">
        <v>25</v>
      </c>
      <c r="B56" s="806" t="s">
        <v>291</v>
      </c>
      <c r="C56" s="807"/>
      <c r="D56" s="807"/>
      <c r="E56" s="458">
        <f>TAK!E29*1000</f>
        <v>108.57233333333335</v>
      </c>
      <c r="F56" s="458">
        <f t="shared" si="42"/>
        <v>126.79677866666668</v>
      </c>
      <c r="G56" s="458">
        <f t="shared" si="42"/>
        <v>145.02122400000002</v>
      </c>
      <c r="H56" s="458">
        <f t="shared" si="42"/>
        <v>163.24566933333335</v>
      </c>
      <c r="I56" s="458">
        <f t="shared" si="42"/>
        <v>181.47011466666669</v>
      </c>
      <c r="J56" s="458">
        <f>TAK!F29*1000</f>
        <v>199.69456000000002</v>
      </c>
      <c r="K56" s="458">
        <f t="shared" si="43"/>
        <v>407.79768400000006</v>
      </c>
      <c r="L56" s="458">
        <f t="shared" si="43"/>
        <v>615.9008080000001</v>
      </c>
      <c r="M56" s="458">
        <f t="shared" si="43"/>
        <v>824.00393200000019</v>
      </c>
      <c r="N56" s="458">
        <f t="shared" si="43"/>
        <v>1032.1070560000003</v>
      </c>
      <c r="O56" s="458">
        <f>TAK!G29*1000</f>
        <v>1240.2101800000003</v>
      </c>
      <c r="P56" s="458">
        <f t="shared" si="44"/>
        <v>1477.0800640000002</v>
      </c>
      <c r="Q56" s="458">
        <f t="shared" si="44"/>
        <v>1713.9499480000002</v>
      </c>
      <c r="R56" s="458">
        <f t="shared" si="44"/>
        <v>1950.8198320000001</v>
      </c>
      <c r="S56" s="458">
        <f t="shared" si="44"/>
        <v>2187.6897159999999</v>
      </c>
      <c r="T56" s="458">
        <f>TAK!H29*1000</f>
        <v>2424.5596</v>
      </c>
      <c r="U56" s="458">
        <f>TAK!I29*1000</f>
        <v>4897.6920666666674</v>
      </c>
      <c r="V56" s="741">
        <f>TAK!J29*1000</f>
        <v>7530.443533333334</v>
      </c>
      <c r="W56" s="741">
        <f>TAK!K29*1000</f>
        <v>10276.872000000003</v>
      </c>
      <c r="X56" s="741">
        <f>TAK!L29*1000</f>
        <v>13044.622266666669</v>
      </c>
      <c r="Y56" s="808"/>
      <c r="Z56" s="809"/>
    </row>
    <row r="57" spans="1:37">
      <c r="B57" s="213" t="str">
        <f>TAK!B30</f>
        <v>Dotatsioon</v>
      </c>
      <c r="C57" s="702">
        <v>1000</v>
      </c>
      <c r="D57" s="213"/>
      <c r="E57" s="456">
        <f>SUM(E58:E60)</f>
        <v>80697.777436650402</v>
      </c>
      <c r="F57" s="456">
        <f t="shared" ref="F57:X57" si="45">SUM(F58:F60)</f>
        <v>81842.409849913325</v>
      </c>
      <c r="G57" s="456">
        <f t="shared" si="45"/>
        <v>82987.042263176249</v>
      </c>
      <c r="H57" s="456">
        <f t="shared" si="45"/>
        <v>84131.674676439172</v>
      </c>
      <c r="I57" s="456">
        <f t="shared" si="45"/>
        <v>85276.307089702095</v>
      </c>
      <c r="J57" s="456">
        <f t="shared" si="45"/>
        <v>86420.939502965019</v>
      </c>
      <c r="K57" s="456">
        <f t="shared" si="45"/>
        <v>89224.326956997305</v>
      </c>
      <c r="L57" s="456">
        <f t="shared" si="45"/>
        <v>92027.714411029607</v>
      </c>
      <c r="M57" s="456">
        <f t="shared" si="45"/>
        <v>94831.101865061908</v>
      </c>
      <c r="N57" s="456">
        <f t="shared" si="45"/>
        <v>97634.489319094224</v>
      </c>
      <c r="O57" s="456">
        <f t="shared" si="45"/>
        <v>100437.87677312651</v>
      </c>
      <c r="P57" s="456">
        <f t="shared" si="45"/>
        <v>99962.238438062166</v>
      </c>
      <c r="Q57" s="456">
        <f t="shared" si="45"/>
        <v>99486.600102997822</v>
      </c>
      <c r="R57" s="456">
        <f t="shared" si="45"/>
        <v>99010.961767933477</v>
      </c>
      <c r="S57" s="456">
        <f t="shared" si="45"/>
        <v>98535.323432869132</v>
      </c>
      <c r="T57" s="456">
        <f t="shared" si="45"/>
        <v>98059.685097804788</v>
      </c>
      <c r="U57" s="456">
        <f t="shared" si="45"/>
        <v>96012.555034319841</v>
      </c>
      <c r="V57" s="456">
        <f t="shared" si="45"/>
        <v>94904.225987187558</v>
      </c>
      <c r="W57" s="456">
        <f t="shared" si="45"/>
        <v>94658.480079434055</v>
      </c>
      <c r="X57" s="456">
        <f t="shared" si="45"/>
        <v>95233.813167408254</v>
      </c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</row>
    <row r="58" spans="1:37">
      <c r="B58" s="240" t="str">
        <f>TAK!B31</f>
        <v>Raudtee</v>
      </c>
      <c r="C58" s="700"/>
      <c r="D58" s="223"/>
      <c r="E58" s="460">
        <f>TAK!E31*1000</f>
        <v>16808.271672135474</v>
      </c>
      <c r="F58" s="458">
        <f t="shared" ref="F58:I66" si="46">$E58+($J58-$E58)/5*(F$4-$E$4)</f>
        <v>17435.276083999073</v>
      </c>
      <c r="G58" s="458">
        <f t="shared" si="46"/>
        <v>18062.280495862669</v>
      </c>
      <c r="H58" s="458">
        <f t="shared" si="46"/>
        <v>18689.284907726269</v>
      </c>
      <c r="I58" s="458">
        <f t="shared" si="46"/>
        <v>19316.289319589865</v>
      </c>
      <c r="J58" s="460">
        <f>TAK!F31*1000</f>
        <v>19943.293731453465</v>
      </c>
      <c r="K58" s="458">
        <f t="shared" ref="K58:N68" si="47">$J58+($O58-$J58)/5*(K$4-$J$4)</f>
        <v>21122.199438014253</v>
      </c>
      <c r="L58" s="458">
        <f t="shared" si="47"/>
        <v>22301.105144575042</v>
      </c>
      <c r="M58" s="458">
        <f t="shared" si="47"/>
        <v>23480.010851135834</v>
      </c>
      <c r="N58" s="458">
        <f t="shared" si="47"/>
        <v>24658.916557696622</v>
      </c>
      <c r="O58" s="460">
        <f>TAK!G31*1000</f>
        <v>25837.822264257411</v>
      </c>
      <c r="P58" s="458">
        <f t="shared" ref="P58:S68" si="48">$O58+($T58-$O58)/5*(P$4-$O$4)</f>
        <v>26097.773645005032</v>
      </c>
      <c r="Q58" s="458">
        <f t="shared" si="48"/>
        <v>26357.72502575265</v>
      </c>
      <c r="R58" s="458">
        <f t="shared" si="48"/>
        <v>26617.676406500272</v>
      </c>
      <c r="S58" s="458">
        <f t="shared" si="48"/>
        <v>26877.62778724789</v>
      </c>
      <c r="T58" s="460">
        <f>TAK!H31*1000</f>
        <v>27137.579167995511</v>
      </c>
      <c r="U58" s="460">
        <f>TAK!I31*1000</f>
        <v>27712.912255969728</v>
      </c>
      <c r="V58" s="744">
        <f>TAK!J31*1000</f>
        <v>28288.24534394393</v>
      </c>
      <c r="W58" s="744">
        <f>TAK!K31*1000</f>
        <v>28863.578431918144</v>
      </c>
      <c r="X58" s="744">
        <f>TAK!L31*1000</f>
        <v>29438.911519892332</v>
      </c>
      <c r="Y58" s="223"/>
      <c r="Z58" s="223" t="str">
        <f>TAK!N31</f>
        <v>Proportsionaalne reisijateveo kasvuga, jättes kasvust välja Rail Balticu mahu, mis ei ole doteeritav</v>
      </c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</row>
    <row r="59" spans="1:37">
      <c r="B59" s="240" t="str">
        <f>TAK!B32</f>
        <v>Ühistransport riik</v>
      </c>
      <c r="C59" s="700"/>
      <c r="D59" s="223"/>
      <c r="E59" s="460">
        <f>TAK!E32*1000</f>
        <v>19609.650284158048</v>
      </c>
      <c r="F59" s="458">
        <f t="shared" si="46"/>
        <v>20673.543660189804</v>
      </c>
      <c r="G59" s="458">
        <f t="shared" si="46"/>
        <v>21737.43703622156</v>
      </c>
      <c r="H59" s="458">
        <f t="shared" si="46"/>
        <v>22801.330412253315</v>
      </c>
      <c r="I59" s="458">
        <f t="shared" si="46"/>
        <v>23865.223788285075</v>
      </c>
      <c r="J59" s="460">
        <f>TAK!F32*1000</f>
        <v>24929.117164316831</v>
      </c>
      <c r="K59" s="458">
        <f t="shared" si="47"/>
        <v>25538.297819618649</v>
      </c>
      <c r="L59" s="458">
        <f t="shared" si="47"/>
        <v>26147.478474920466</v>
      </c>
      <c r="M59" s="458">
        <f t="shared" si="47"/>
        <v>26756.659130222281</v>
      </c>
      <c r="N59" s="458">
        <f t="shared" si="47"/>
        <v>27365.839785524098</v>
      </c>
      <c r="O59" s="460">
        <f>TAK!G32*1000</f>
        <v>27975.020440825916</v>
      </c>
      <c r="P59" s="458">
        <f t="shared" si="48"/>
        <v>27699.174297396428</v>
      </c>
      <c r="Q59" s="458">
        <f t="shared" si="48"/>
        <v>27423.328153966941</v>
      </c>
      <c r="R59" s="458">
        <f t="shared" si="48"/>
        <v>27147.482010537453</v>
      </c>
      <c r="S59" s="458">
        <f t="shared" si="48"/>
        <v>26871.635867107965</v>
      </c>
      <c r="T59" s="460">
        <f>TAK!H32*1000</f>
        <v>26595.789723678477</v>
      </c>
      <c r="U59" s="460">
        <f>TAK!I32*1000</f>
        <v>25612.366041881291</v>
      </c>
      <c r="V59" s="744">
        <f>TAK!J32*1000</f>
        <v>24980.99274121636</v>
      </c>
      <c r="W59" s="744">
        <f>TAK!K32*1000</f>
        <v>24673.088117818468</v>
      </c>
      <c r="X59" s="744">
        <f>TAK!L32*1000</f>
        <v>24673.088117818468</v>
      </c>
      <c r="Y59" s="223"/>
      <c r="Z59" s="223" t="str">
        <f>TAK!N32</f>
        <v>BAU+10%</v>
      </c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</row>
    <row r="60" spans="1:37">
      <c r="B60" s="241" t="str">
        <f>TAK!B33</f>
        <v>Ühistransport KOV</v>
      </c>
      <c r="C60" s="700"/>
      <c r="D60" s="223"/>
      <c r="E60" s="458">
        <f>TAK!E33*1000</f>
        <v>44279.855480356884</v>
      </c>
      <c r="F60" s="458">
        <f t="shared" si="46"/>
        <v>43733.590105724448</v>
      </c>
      <c r="G60" s="458">
        <f t="shared" si="46"/>
        <v>43187.32473109202</v>
      </c>
      <c r="H60" s="458">
        <f t="shared" si="46"/>
        <v>42641.059356459584</v>
      </c>
      <c r="I60" s="458">
        <f t="shared" si="46"/>
        <v>42094.793981827155</v>
      </c>
      <c r="J60" s="458">
        <f>TAK!F33*1000</f>
        <v>41548.528607194719</v>
      </c>
      <c r="K60" s="458">
        <f t="shared" si="47"/>
        <v>42563.829699364411</v>
      </c>
      <c r="L60" s="458">
        <f t="shared" si="47"/>
        <v>43579.130791534102</v>
      </c>
      <c r="M60" s="458">
        <f t="shared" si="47"/>
        <v>44594.431883703801</v>
      </c>
      <c r="N60" s="458">
        <f t="shared" si="47"/>
        <v>45609.732975873492</v>
      </c>
      <c r="O60" s="458">
        <f>TAK!G33*1000</f>
        <v>46625.034068043184</v>
      </c>
      <c r="P60" s="458">
        <f t="shared" si="48"/>
        <v>46165.290495660702</v>
      </c>
      <c r="Q60" s="458">
        <f t="shared" si="48"/>
        <v>45705.546923278227</v>
      </c>
      <c r="R60" s="458">
        <f t="shared" si="48"/>
        <v>45245.803350895745</v>
      </c>
      <c r="S60" s="458">
        <f t="shared" si="48"/>
        <v>44786.05977851327</v>
      </c>
      <c r="T60" s="458">
        <f>TAK!H33*1000</f>
        <v>44326.316206130788</v>
      </c>
      <c r="U60" s="458">
        <f>TAK!I33*1000</f>
        <v>42687.276736468812</v>
      </c>
      <c r="V60" s="741">
        <f>TAK!J33*1000</f>
        <v>41634.987902027256</v>
      </c>
      <c r="W60" s="741">
        <f>TAK!K33*1000</f>
        <v>41121.813529697443</v>
      </c>
      <c r="X60" s="741">
        <f>TAK!L33*1000</f>
        <v>41121.813529697443</v>
      </c>
      <c r="Y60" s="223"/>
      <c r="Z60" s="223" t="str">
        <f>TAK!N33</f>
        <v>BAU+10%</v>
      </c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</row>
    <row r="61" spans="1:37" ht="34.5" customHeight="1">
      <c r="B61" s="468" t="s">
        <v>200</v>
      </c>
      <c r="C61" s="703">
        <v>1000</v>
      </c>
      <c r="D61" s="268"/>
      <c r="E61" s="471">
        <f>E33+E37+E46+E49+E57</f>
        <v>403607.15017049748</v>
      </c>
      <c r="F61" s="471">
        <f t="shared" ref="F61:X61" si="49">F33+F37+F46+F49+F57</f>
        <v>408227.77680219151</v>
      </c>
      <c r="G61" s="471">
        <f t="shared" si="49"/>
        <v>412848.40343388548</v>
      </c>
      <c r="H61" s="471">
        <f t="shared" si="49"/>
        <v>417469.03006557957</v>
      </c>
      <c r="I61" s="471">
        <f t="shared" si="49"/>
        <v>422089.6566972736</v>
      </c>
      <c r="J61" s="471">
        <f t="shared" si="49"/>
        <v>426710.28332896758</v>
      </c>
      <c r="K61" s="471">
        <f t="shared" si="49"/>
        <v>432892.1165748731</v>
      </c>
      <c r="L61" s="471">
        <f t="shared" si="49"/>
        <v>439073.94982077857</v>
      </c>
      <c r="M61" s="471">
        <f t="shared" si="49"/>
        <v>445255.78306668415</v>
      </c>
      <c r="N61" s="471">
        <f t="shared" si="49"/>
        <v>451437.61631258967</v>
      </c>
      <c r="O61" s="471">
        <f t="shared" si="49"/>
        <v>487123.16430295142</v>
      </c>
      <c r="P61" s="471">
        <f t="shared" si="49"/>
        <v>491299.24541233154</v>
      </c>
      <c r="Q61" s="471">
        <f t="shared" si="49"/>
        <v>495475.32652171189</v>
      </c>
      <c r="R61" s="471">
        <f t="shared" si="49"/>
        <v>499651.40763109201</v>
      </c>
      <c r="S61" s="471">
        <f t="shared" si="49"/>
        <v>503827.48874047236</v>
      </c>
      <c r="T61" s="471">
        <f t="shared" si="49"/>
        <v>508003.56984985247</v>
      </c>
      <c r="U61" s="471">
        <f t="shared" si="49"/>
        <v>512379.10903949582</v>
      </c>
      <c r="V61" s="471">
        <f t="shared" si="49"/>
        <v>517667.1224418974</v>
      </c>
      <c r="W61" s="471">
        <f t="shared" si="49"/>
        <v>523793.28591707308</v>
      </c>
      <c r="X61" s="471">
        <f t="shared" si="49"/>
        <v>530717.81168450974</v>
      </c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</row>
    <row r="62" spans="1:37">
      <c r="B62" s="213" t="s">
        <v>416</v>
      </c>
      <c r="C62" s="690"/>
      <c r="D62" s="183"/>
      <c r="E62" s="916">
        <f>J62</f>
        <v>26600.465572582947</v>
      </c>
      <c r="F62" s="183">
        <f t="shared" si="46"/>
        <v>26600.465572582947</v>
      </c>
      <c r="G62" s="183">
        <f t="shared" si="46"/>
        <v>26600.465572582947</v>
      </c>
      <c r="H62" s="183">
        <f t="shared" si="46"/>
        <v>26600.465572582947</v>
      </c>
      <c r="I62" s="183">
        <f t="shared" si="46"/>
        <v>26600.465572582947</v>
      </c>
      <c r="J62" s="723">
        <f>Meetmed_maksumustega2020!$V$60</f>
        <v>26600.465572582947</v>
      </c>
      <c r="K62" s="723">
        <f t="shared" si="47"/>
        <v>28665.765572582946</v>
      </c>
      <c r="L62" s="723">
        <f t="shared" si="47"/>
        <v>30731.065572582946</v>
      </c>
      <c r="M62" s="723">
        <f t="shared" si="47"/>
        <v>32796.365572582945</v>
      </c>
      <c r="N62" s="723">
        <f t="shared" si="47"/>
        <v>34861.665572582948</v>
      </c>
      <c r="O62" s="183">
        <f>AVERAGE(J62,T62)</f>
        <v>36926.965572582943</v>
      </c>
      <c r="P62" s="458">
        <f t="shared" si="48"/>
        <v>38992.265572582939</v>
      </c>
      <c r="Q62" s="458">
        <f t="shared" si="48"/>
        <v>41057.565572582942</v>
      </c>
      <c r="R62" s="458">
        <f t="shared" si="48"/>
        <v>43122.865572582938</v>
      </c>
      <c r="S62" s="458">
        <f t="shared" si="48"/>
        <v>45188.165572582933</v>
      </c>
      <c r="T62" s="723">
        <f>Meetmed_maksumustega_2030!W60</f>
        <v>47253.465572582936</v>
      </c>
      <c r="U62" s="183">
        <f>T62</f>
        <v>47253.465572582936</v>
      </c>
      <c r="V62" s="729">
        <f>U62</f>
        <v>47253.465572582936</v>
      </c>
      <c r="W62" s="729">
        <f>V62</f>
        <v>47253.465572582936</v>
      </c>
      <c r="X62" s="729">
        <f>W62</f>
        <v>47253.465572582936</v>
      </c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</row>
    <row r="63" spans="1:37" s="921" customFormat="1">
      <c r="A63" s="1101" t="s">
        <v>417</v>
      </c>
      <c r="B63" s="914"/>
      <c r="C63" s="915"/>
      <c r="D63" s="916"/>
      <c r="E63" s="916">
        <f>J63</f>
        <v>43933.798905916279</v>
      </c>
      <c r="F63" s="916">
        <f t="shared" si="46"/>
        <v>43933.798905916279</v>
      </c>
      <c r="G63" s="916">
        <f t="shared" si="46"/>
        <v>43933.798905916279</v>
      </c>
      <c r="H63" s="916">
        <f t="shared" si="46"/>
        <v>43933.798905916279</v>
      </c>
      <c r="I63" s="916">
        <f t="shared" si="46"/>
        <v>43933.798905916279</v>
      </c>
      <c r="J63" s="917">
        <f>Meetmed_maksumustega2020!$V$59</f>
        <v>43933.798905916279</v>
      </c>
      <c r="K63" s="917">
        <f t="shared" si="47"/>
        <v>49136.615572582945</v>
      </c>
      <c r="L63" s="917">
        <f t="shared" si="47"/>
        <v>54339.432239249611</v>
      </c>
      <c r="M63" s="917">
        <f t="shared" si="47"/>
        <v>59542.248905916276</v>
      </c>
      <c r="N63" s="917">
        <f t="shared" si="47"/>
        <v>64745.065572582942</v>
      </c>
      <c r="O63" s="183">
        <f>AVERAGE(J63,T63)</f>
        <v>69947.882239249608</v>
      </c>
      <c r="P63" s="916">
        <f>$O63+($T63-$O63)/5*(P$4-$O$4)</f>
        <v>75150.698905916273</v>
      </c>
      <c r="Q63" s="916">
        <f>$O63+($T63-$O63)/5*(Q$4-$O$4)</f>
        <v>80353.515572582939</v>
      </c>
      <c r="R63" s="916">
        <f>$O63+($T63-$O63)/5*(R$4-$O$4)</f>
        <v>85556.332239249605</v>
      </c>
      <c r="S63" s="916">
        <f>$O63+($T63-$O63)/5*(S$4-$O$4)</f>
        <v>90759.14890591627</v>
      </c>
      <c r="T63" s="723">
        <f>Meetmed_maksumustega_2030!W59</f>
        <v>95961.965572582936</v>
      </c>
      <c r="U63" s="916"/>
      <c r="V63" s="918"/>
      <c r="W63" s="918"/>
      <c r="X63" s="918"/>
      <c r="Y63" s="919"/>
      <c r="Z63" s="919"/>
      <c r="AA63" s="920"/>
      <c r="AB63" s="920"/>
      <c r="AC63" s="920"/>
      <c r="AD63" s="920"/>
      <c r="AE63" s="920"/>
      <c r="AF63" s="920"/>
      <c r="AG63" s="920"/>
      <c r="AH63" s="920"/>
      <c r="AI63" s="920"/>
      <c r="AJ63" s="920"/>
      <c r="AK63" s="920"/>
    </row>
    <row r="64" spans="1:37">
      <c r="B64" s="713" t="s">
        <v>201</v>
      </c>
      <c r="C64" s="714"/>
      <c r="D64" s="713"/>
      <c r="E64" s="715">
        <f>SUM(E61:E62)</f>
        <v>430207.61574308045</v>
      </c>
      <c r="F64" s="713">
        <f t="shared" si="46"/>
        <v>434828.24237477448</v>
      </c>
      <c r="G64" s="713">
        <f t="shared" si="46"/>
        <v>439448.86900646851</v>
      </c>
      <c r="H64" s="713">
        <f t="shared" si="46"/>
        <v>444069.49563816248</v>
      </c>
      <c r="I64" s="713">
        <f t="shared" si="46"/>
        <v>448690.12226985651</v>
      </c>
      <c r="J64" s="715">
        <f>SUM(J61:J62)</f>
        <v>453310.74890155054</v>
      </c>
      <c r="K64" s="715">
        <f t="shared" si="47"/>
        <v>467458.6250963473</v>
      </c>
      <c r="L64" s="715">
        <f t="shared" si="47"/>
        <v>481606.50129114406</v>
      </c>
      <c r="M64" s="715">
        <f t="shared" si="47"/>
        <v>495754.37748594081</v>
      </c>
      <c r="N64" s="715">
        <f t="shared" si="47"/>
        <v>509902.25368073763</v>
      </c>
      <c r="O64" s="715">
        <f t="shared" ref="O64:X64" si="50">SUM(O61:O62)</f>
        <v>524050.12987553439</v>
      </c>
      <c r="P64" s="715">
        <f t="shared" si="48"/>
        <v>530291.51098491461</v>
      </c>
      <c r="Q64" s="715">
        <f t="shared" si="48"/>
        <v>536532.89209429477</v>
      </c>
      <c r="R64" s="715">
        <f t="shared" si="48"/>
        <v>542774.27320367494</v>
      </c>
      <c r="S64" s="715">
        <f t="shared" si="48"/>
        <v>549015.65431305522</v>
      </c>
      <c r="T64" s="715">
        <f t="shared" si="50"/>
        <v>555257.03542243538</v>
      </c>
      <c r="U64" s="715">
        <f t="shared" si="50"/>
        <v>559632.57461207872</v>
      </c>
      <c r="V64" s="749">
        <f t="shared" si="50"/>
        <v>564920.58801448031</v>
      </c>
      <c r="W64" s="749">
        <f t="shared" si="50"/>
        <v>571046.75148965605</v>
      </c>
      <c r="X64" s="749">
        <f t="shared" si="50"/>
        <v>577971.27725709265</v>
      </c>
      <c r="Y64" s="129"/>
      <c r="Z64" s="129"/>
    </row>
    <row r="65" spans="2:37" s="135" customFormat="1">
      <c r="B65" s="716" t="str">
        <f>B29</f>
        <v>Aktsiis ja transpordimaksud kokku</v>
      </c>
      <c r="C65" s="717"/>
      <c r="D65" s="718">
        <f>D29</f>
        <v>328754.11424651969</v>
      </c>
      <c r="E65" s="718">
        <f>E29</f>
        <v>409018.18092902761</v>
      </c>
      <c r="F65" s="718">
        <f t="shared" si="46"/>
        <v>425070.99426552921</v>
      </c>
      <c r="G65" s="718">
        <f t="shared" si="46"/>
        <v>441123.80760203081</v>
      </c>
      <c r="H65" s="718">
        <f t="shared" si="46"/>
        <v>457176.6209385324</v>
      </c>
      <c r="I65" s="718">
        <f t="shared" si="46"/>
        <v>473229.434275034</v>
      </c>
      <c r="J65" s="718">
        <f>J29</f>
        <v>489282.2476115356</v>
      </c>
      <c r="K65" s="718">
        <f t="shared" si="47"/>
        <v>497723.66782299743</v>
      </c>
      <c r="L65" s="718">
        <f t="shared" si="47"/>
        <v>506165.08803445933</v>
      </c>
      <c r="M65" s="718">
        <f t="shared" si="47"/>
        <v>514606.50824592117</v>
      </c>
      <c r="N65" s="718">
        <f t="shared" si="47"/>
        <v>523047.92845738307</v>
      </c>
      <c r="O65" s="718">
        <f>O29</f>
        <v>531489.3486688449</v>
      </c>
      <c r="P65" s="718">
        <f t="shared" si="48"/>
        <v>539930.76888030674</v>
      </c>
      <c r="Q65" s="718">
        <f t="shared" si="48"/>
        <v>548372.18909176858</v>
      </c>
      <c r="R65" s="718">
        <f t="shared" si="48"/>
        <v>556813.60930323042</v>
      </c>
      <c r="S65" s="718">
        <f t="shared" si="48"/>
        <v>565255.02951469226</v>
      </c>
      <c r="T65" s="718">
        <f t="shared" ref="T65:X66" si="51">T29</f>
        <v>573696.4497261541</v>
      </c>
      <c r="U65" s="718">
        <f t="shared" si="51"/>
        <v>566783.85499768297</v>
      </c>
      <c r="V65" s="750">
        <f t="shared" si="51"/>
        <v>560860.69776921184</v>
      </c>
      <c r="W65" s="750">
        <f t="shared" si="51"/>
        <v>566053.73321747617</v>
      </c>
      <c r="X65" s="750">
        <f t="shared" si="51"/>
        <v>552285.09264820698</v>
      </c>
      <c r="Y65" s="475"/>
      <c r="Z65" s="475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</row>
    <row r="66" spans="2:37" s="135" customFormat="1" ht="15.75">
      <c r="B66" s="475" t="str">
        <f>B30</f>
        <v>Kütuste kulu kokku</v>
      </c>
      <c r="C66" s="705"/>
      <c r="D66" s="476"/>
      <c r="E66" s="476">
        <f>E30</f>
        <v>1129444.8061100517</v>
      </c>
      <c r="F66" s="476">
        <f t="shared" si="46"/>
        <v>1152465.5955747229</v>
      </c>
      <c r="G66" s="476">
        <f t="shared" si="46"/>
        <v>1175486.385039394</v>
      </c>
      <c r="H66" s="476">
        <f t="shared" si="46"/>
        <v>1198507.1745040654</v>
      </c>
      <c r="I66" s="476">
        <f t="shared" si="46"/>
        <v>1221527.9639687366</v>
      </c>
      <c r="J66" s="476">
        <f>J30</f>
        <v>1244548.7534334077</v>
      </c>
      <c r="K66" s="476">
        <f t="shared" si="47"/>
        <v>1265931.0717539357</v>
      </c>
      <c r="L66" s="476">
        <f t="shared" si="47"/>
        <v>1287313.3900744636</v>
      </c>
      <c r="M66" s="476">
        <f t="shared" si="47"/>
        <v>1308695.7083949912</v>
      </c>
      <c r="N66" s="476">
        <f t="shared" si="47"/>
        <v>1330078.0267155191</v>
      </c>
      <c r="O66" s="476">
        <f>O30</f>
        <v>1351460.345036047</v>
      </c>
      <c r="P66" s="476">
        <f t="shared" si="48"/>
        <v>1372842.663356575</v>
      </c>
      <c r="Q66" s="476">
        <f t="shared" si="48"/>
        <v>1394224.9816771029</v>
      </c>
      <c r="R66" s="476">
        <f t="shared" si="48"/>
        <v>1415607.2999976308</v>
      </c>
      <c r="S66" s="476">
        <f t="shared" si="48"/>
        <v>1436989.6183181587</v>
      </c>
      <c r="T66" s="476">
        <f t="shared" si="51"/>
        <v>1458371.9366386866</v>
      </c>
      <c r="U66" s="476">
        <f t="shared" si="51"/>
        <v>1436668.7479523181</v>
      </c>
      <c r="V66" s="751">
        <f t="shared" si="51"/>
        <v>1414965.5592659493</v>
      </c>
      <c r="W66" s="751">
        <f t="shared" si="51"/>
        <v>1404113.9649227648</v>
      </c>
      <c r="X66" s="751">
        <f t="shared" si="51"/>
        <v>1371559.1818932118</v>
      </c>
      <c r="Y66" s="475"/>
      <c r="Z66" s="475"/>
      <c r="AA66" s="478"/>
      <c r="AB66" s="479"/>
      <c r="AC66" s="479"/>
      <c r="AD66" s="479"/>
      <c r="AE66" s="475"/>
      <c r="AF66" s="475"/>
      <c r="AG66" s="475"/>
      <c r="AH66" s="475"/>
      <c r="AI66" s="475"/>
      <c r="AJ66" s="475"/>
    </row>
    <row r="67" spans="2:37" s="432" customFormat="1" ht="15.75">
      <c r="B67" s="820" t="s">
        <v>316</v>
      </c>
      <c r="C67" s="821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3"/>
      <c r="W67" s="823"/>
      <c r="X67" s="823"/>
      <c r="Y67" s="822"/>
      <c r="Z67" s="822"/>
      <c r="AA67" s="263"/>
      <c r="AB67" s="262"/>
      <c r="AC67" s="262"/>
      <c r="AD67" s="262"/>
      <c r="AE67" s="822"/>
      <c r="AF67" s="822"/>
      <c r="AG67" s="822"/>
      <c r="AH67" s="822"/>
      <c r="AI67" s="822"/>
      <c r="AJ67" s="822"/>
    </row>
    <row r="68" spans="2:37" ht="15.75">
      <c r="B68" s="129" t="s">
        <v>317</v>
      </c>
      <c r="C68" s="704"/>
      <c r="D68" s="129"/>
      <c r="E68" s="474">
        <f>'kl tervisemõju'!C9</f>
        <v>0</v>
      </c>
      <c r="F68" s="458">
        <v>0</v>
      </c>
      <c r="G68" s="458">
        <v>0</v>
      </c>
      <c r="H68" s="458">
        <v>0</v>
      </c>
      <c r="I68" s="458">
        <v>0</v>
      </c>
      <c r="J68" s="474">
        <f>'kl tervisemõju'!D9</f>
        <v>18720</v>
      </c>
      <c r="K68" s="458">
        <f t="shared" si="47"/>
        <v>22968</v>
      </c>
      <c r="L68" s="458">
        <f t="shared" si="47"/>
        <v>27215.999999999996</v>
      </c>
      <c r="M68" s="458">
        <f t="shared" si="47"/>
        <v>31463.999999999993</v>
      </c>
      <c r="N68" s="458">
        <f t="shared" si="47"/>
        <v>35711.999999999993</v>
      </c>
      <c r="O68" s="474">
        <f>'kl tervisemõju'!E9</f>
        <v>39959.999999999993</v>
      </c>
      <c r="P68" s="458">
        <f t="shared" si="48"/>
        <v>44207.999999999993</v>
      </c>
      <c r="Q68" s="458">
        <f t="shared" si="48"/>
        <v>48455.999999999993</v>
      </c>
      <c r="R68" s="458">
        <f t="shared" si="48"/>
        <v>52703.999999999993</v>
      </c>
      <c r="S68" s="458">
        <f t="shared" si="48"/>
        <v>56951.999999999993</v>
      </c>
      <c r="T68" s="474">
        <f>'kl tervisemõju'!F9</f>
        <v>61199.999999999993</v>
      </c>
      <c r="U68" s="474">
        <f>'kl tervisemõju'!G9</f>
        <v>101751.30462934884</v>
      </c>
      <c r="V68" s="474">
        <f>'kl tervisemõju'!H9</f>
        <v>142302.60925869769</v>
      </c>
      <c r="W68" s="474">
        <f>'kl tervisemõju'!I9</f>
        <v>182853.91388804658</v>
      </c>
      <c r="X68" s="474">
        <f>'kl tervisemõju'!J9</f>
        <v>223405.21851739538</v>
      </c>
      <c r="Y68" s="129"/>
      <c r="Z68" s="129"/>
      <c r="AA68" s="207"/>
      <c r="AB68" s="258"/>
      <c r="AC68" s="258"/>
      <c r="AD68" s="258"/>
      <c r="AE68" s="129"/>
      <c r="AF68" s="129"/>
      <c r="AG68" s="129"/>
      <c r="AH68" s="129"/>
      <c r="AI68" s="129"/>
      <c r="AJ68" s="129"/>
    </row>
    <row r="69" spans="2:37" ht="15.75">
      <c r="B69" s="129"/>
      <c r="C69" s="704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753"/>
      <c r="W69" s="753"/>
      <c r="X69" s="753"/>
      <c r="Y69" s="129"/>
      <c r="Z69" s="129"/>
      <c r="AA69" s="207"/>
      <c r="AB69" s="258"/>
      <c r="AC69" s="258"/>
      <c r="AD69" s="258"/>
      <c r="AE69" s="129"/>
      <c r="AF69" s="129"/>
      <c r="AG69" s="129"/>
      <c r="AH69" s="129"/>
      <c r="AI69" s="129"/>
      <c r="AJ69" s="129"/>
    </row>
    <row r="70" spans="2:37">
      <c r="B70" s="129" t="s">
        <v>465</v>
      </c>
      <c r="C70" s="704"/>
      <c r="D70" s="129"/>
      <c r="E70" s="129"/>
      <c r="F70" s="129"/>
      <c r="G70" s="129"/>
      <c r="H70" s="129"/>
      <c r="I70" s="129"/>
      <c r="J70" s="957">
        <f>TransportBAU!J69-TransportBAU!J68</f>
        <v>15701.274221411193</v>
      </c>
      <c r="K70" s="957">
        <f>TransportBAU!K69-TransportBAU!K68</f>
        <v>26245.520689400109</v>
      </c>
      <c r="L70" s="957">
        <f>TransportBAU!L69-TransportBAU!L68</f>
        <v>36789.767157389026</v>
      </c>
      <c r="M70" s="957">
        <f>TransportBAU!M69-TransportBAU!M68</f>
        <v>47334.013625377942</v>
      </c>
      <c r="N70" s="957">
        <f>TransportBAU!N69-TransportBAU!N68</f>
        <v>57878.260093366851</v>
      </c>
      <c r="O70" s="957">
        <f>TransportBAU!O69-TransportBAU!O68</f>
        <v>68422.506561355782</v>
      </c>
      <c r="P70" s="957">
        <f>TransportBAU!P69-TransportBAU!P68</f>
        <v>78966.753029344691</v>
      </c>
      <c r="Q70" s="957">
        <f>TransportBAU!Q69-TransportBAU!Q68</f>
        <v>89510.9994973336</v>
      </c>
      <c r="R70" s="957">
        <f>TransportBAU!R69-TransportBAU!R68</f>
        <v>100055.24596532251</v>
      </c>
      <c r="S70" s="957">
        <f>TransportBAU!S69-TransportBAU!S68</f>
        <v>110599.49243331142</v>
      </c>
      <c r="T70" s="957">
        <f>TransportBAU!T69-TransportBAU!T68</f>
        <v>121143.73890130033</v>
      </c>
      <c r="U70" s="129"/>
      <c r="V70" s="753"/>
      <c r="W70" s="753"/>
      <c r="X70" s="753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</row>
    <row r="71" spans="2:37">
      <c r="B71" s="128" t="s">
        <v>404</v>
      </c>
      <c r="C71" s="704"/>
      <c r="D71" s="129"/>
      <c r="E71" s="474">
        <f>E14*CO2valiskulu!$D$5/1000</f>
        <v>55384.156787276246</v>
      </c>
      <c r="F71" s="474">
        <f>F14*CO2valiskulu!$D$5/1000</f>
        <v>55784.057639792998</v>
      </c>
      <c r="G71" s="474">
        <f>G14*CO2valiskulu!$D$5/1000</f>
        <v>56183.958492309765</v>
      </c>
      <c r="H71" s="474">
        <f>H14*CO2valiskulu!$D$5/1000</f>
        <v>56583.859344826516</v>
      </c>
      <c r="I71" s="474">
        <f>I14*CO2valiskulu!$D$5/1000</f>
        <v>56983.760197343283</v>
      </c>
      <c r="J71" s="474">
        <f>J14*CO2valiskulu!D6/1000</f>
        <v>91813.857679776076</v>
      </c>
      <c r="K71" s="474"/>
      <c r="L71" s="474"/>
      <c r="M71" s="474"/>
      <c r="N71" s="474"/>
      <c r="O71" s="474"/>
      <c r="P71" s="474"/>
      <c r="Q71" s="474"/>
      <c r="R71" s="474"/>
      <c r="S71" s="474"/>
      <c r="T71" s="474">
        <v>0</v>
      </c>
      <c r="U71" s="474"/>
      <c r="V71" s="745">
        <f>V14*CO2valiskulu!D8/1000</f>
        <v>148808.51603963651</v>
      </c>
      <c r="W71" s="745"/>
      <c r="X71" s="745">
        <f>X14*CO2valiskulu!D9/1000</f>
        <v>160852.49780545215</v>
      </c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</row>
    <row r="72" spans="2:37">
      <c r="B72" s="129" t="s">
        <v>466</v>
      </c>
      <c r="C72" s="704"/>
      <c r="D72" s="129"/>
      <c r="E72" s="956">
        <f>SUM(E70:E71)</f>
        <v>55384.156787276246</v>
      </c>
      <c r="F72" s="956">
        <f t="shared" ref="F72:T72" si="52">SUM(F70:F71)</f>
        <v>55784.057639792998</v>
      </c>
      <c r="G72" s="956">
        <f t="shared" si="52"/>
        <v>56183.958492309765</v>
      </c>
      <c r="H72" s="956">
        <f t="shared" si="52"/>
        <v>56583.859344826516</v>
      </c>
      <c r="I72" s="956">
        <f t="shared" si="52"/>
        <v>56983.760197343283</v>
      </c>
      <c r="J72" s="956">
        <f t="shared" si="52"/>
        <v>107515.13190118727</v>
      </c>
      <c r="K72" s="956">
        <f t="shared" si="52"/>
        <v>26245.520689400109</v>
      </c>
      <c r="L72" s="956">
        <f t="shared" si="52"/>
        <v>36789.767157389026</v>
      </c>
      <c r="M72" s="956">
        <f t="shared" si="52"/>
        <v>47334.013625377942</v>
      </c>
      <c r="N72" s="956">
        <f t="shared" si="52"/>
        <v>57878.260093366851</v>
      </c>
      <c r="O72" s="956">
        <f t="shared" si="52"/>
        <v>68422.506561355782</v>
      </c>
      <c r="P72" s="956">
        <f t="shared" si="52"/>
        <v>78966.753029344691</v>
      </c>
      <c r="Q72" s="956">
        <f t="shared" si="52"/>
        <v>89510.9994973336</v>
      </c>
      <c r="R72" s="956">
        <f t="shared" si="52"/>
        <v>100055.24596532251</v>
      </c>
      <c r="S72" s="956">
        <f t="shared" si="52"/>
        <v>110599.49243331142</v>
      </c>
      <c r="T72" s="956">
        <f t="shared" si="52"/>
        <v>121143.73890130033</v>
      </c>
      <c r="U72" s="129"/>
      <c r="V72" s="753"/>
      <c r="W72" s="753"/>
      <c r="X72" s="753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</row>
    <row r="73" spans="2:37">
      <c r="B73" s="129"/>
      <c r="C73" s="704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753"/>
      <c r="W73" s="753"/>
      <c r="X73" s="753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</row>
    <row r="74" spans="2:37">
      <c r="B74" s="129" t="s">
        <v>479</v>
      </c>
      <c r="C74" s="704"/>
      <c r="D74" s="129"/>
      <c r="E74" s="956">
        <f>SUM(E40+E53)</f>
        <v>927960.26541025646</v>
      </c>
      <c r="F74" s="956">
        <f t="shared" ref="F74:X74" si="53">SUM(F40+F53)</f>
        <v>930503.86552225659</v>
      </c>
      <c r="G74" s="956">
        <f t="shared" si="53"/>
        <v>933047.4656342566</v>
      </c>
      <c r="H74" s="956">
        <f t="shared" si="53"/>
        <v>935591.06574625662</v>
      </c>
      <c r="I74" s="956">
        <f t="shared" si="53"/>
        <v>938134.66585825651</v>
      </c>
      <c r="J74" s="956">
        <f t="shared" si="53"/>
        <v>940678.26597025641</v>
      </c>
      <c r="K74" s="956">
        <f t="shared" si="53"/>
        <v>951619.22281220532</v>
      </c>
      <c r="L74" s="956">
        <f t="shared" si="53"/>
        <v>962560.179654154</v>
      </c>
      <c r="M74" s="956">
        <f t="shared" si="53"/>
        <v>973501.13649610267</v>
      </c>
      <c r="N74" s="956">
        <f t="shared" si="53"/>
        <v>984442.09333805135</v>
      </c>
      <c r="O74" s="956">
        <f t="shared" si="53"/>
        <v>995383.05018000002</v>
      </c>
      <c r="P74" s="956">
        <f t="shared" si="53"/>
        <v>1000419.0862947692</v>
      </c>
      <c r="Q74" s="956">
        <f t="shared" si="53"/>
        <v>1005455.1224095385</v>
      </c>
      <c r="R74" s="956">
        <f t="shared" si="53"/>
        <v>1010491.1585243077</v>
      </c>
      <c r="S74" s="956">
        <f t="shared" si="53"/>
        <v>1015527.1946390771</v>
      </c>
      <c r="T74" s="956">
        <f t="shared" si="53"/>
        <v>1020563.2307538462</v>
      </c>
      <c r="U74" s="956">
        <f t="shared" si="53"/>
        <v>1058380.1614256413</v>
      </c>
      <c r="V74" s="956">
        <f t="shared" si="53"/>
        <v>1066117.6115846154</v>
      </c>
      <c r="W74" s="956">
        <f t="shared" si="53"/>
        <v>1065685.1650512822</v>
      </c>
      <c r="X74" s="956">
        <f t="shared" si="53"/>
        <v>1074781.2853179488</v>
      </c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</row>
    <row r="75" spans="2:37">
      <c r="B75" s="129"/>
      <c r="C75" s="704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753"/>
      <c r="W75" s="753"/>
      <c r="X75" s="753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</row>
    <row r="76" spans="2:37">
      <c r="B76" s="129"/>
      <c r="C76" s="704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753"/>
      <c r="W76" s="753"/>
      <c r="X76" s="753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</row>
    <row r="77" spans="2:37">
      <c r="B77" s="129"/>
      <c r="C77" s="704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753"/>
      <c r="W77" s="753"/>
      <c r="X77" s="753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</row>
    <row r="78" spans="2:37">
      <c r="B78" s="129"/>
      <c r="C78" s="704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753"/>
      <c r="W78" s="753"/>
      <c r="X78" s="753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</row>
    <row r="79" spans="2:37">
      <c r="B79" s="129"/>
      <c r="C79" s="704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753"/>
      <c r="W79" s="753"/>
      <c r="X79" s="753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</row>
    <row r="80" spans="2:37">
      <c r="B80" s="129"/>
      <c r="C80" s="704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753"/>
      <c r="W80" s="753"/>
      <c r="X80" s="753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</row>
    <row r="81" spans="2:36">
      <c r="B81" s="129"/>
      <c r="C81" s="704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753"/>
      <c r="W81" s="753"/>
      <c r="X81" s="753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</row>
    <row r="82" spans="2:36">
      <c r="B82" s="129"/>
      <c r="C82" s="704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753"/>
      <c r="W82" s="753"/>
      <c r="X82" s="753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</row>
    <row r="83" spans="2:36">
      <c r="B83" s="129"/>
      <c r="C83" s="704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753"/>
      <c r="W83" s="753"/>
      <c r="X83" s="753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</row>
    <row r="84" spans="2:36">
      <c r="B84" s="129"/>
      <c r="C84" s="704"/>
      <c r="D84" s="129"/>
      <c r="E84" s="129"/>
      <c r="F84" s="704"/>
      <c r="G84" s="129"/>
      <c r="H84" s="129"/>
      <c r="I84" s="704"/>
      <c r="J84" s="129"/>
      <c r="K84" s="129"/>
      <c r="L84" s="704"/>
      <c r="M84" s="129"/>
      <c r="N84" s="129"/>
      <c r="O84" s="704"/>
      <c r="P84" s="129"/>
      <c r="Q84" s="129"/>
      <c r="R84" s="704"/>
      <c r="S84" s="129"/>
      <c r="T84" s="129"/>
      <c r="U84" s="704"/>
      <c r="V84" s="129"/>
      <c r="W84" s="129"/>
      <c r="X84" s="704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</row>
    <row r="85" spans="2:36">
      <c r="B85" s="129"/>
      <c r="C85" s="704"/>
      <c r="D85" s="129"/>
      <c r="E85" s="129"/>
      <c r="F85" s="704"/>
      <c r="G85" s="129"/>
      <c r="H85" s="129"/>
      <c r="I85" s="704"/>
      <c r="J85" s="129"/>
      <c r="K85" s="129"/>
      <c r="L85" s="704"/>
      <c r="M85" s="129"/>
      <c r="N85" s="129"/>
      <c r="O85" s="704"/>
      <c r="P85" s="129"/>
      <c r="Q85" s="129"/>
      <c r="R85" s="704"/>
      <c r="S85" s="129"/>
      <c r="T85" s="129"/>
      <c r="U85" s="704"/>
      <c r="V85" s="129"/>
      <c r="W85" s="129"/>
      <c r="X85" s="704"/>
      <c r="Y85" s="129"/>
    </row>
    <row r="86" spans="2:36">
      <c r="B86" s="129"/>
      <c r="C86" s="704"/>
      <c r="D86" s="129"/>
      <c r="E86" s="129"/>
      <c r="F86" s="704"/>
      <c r="G86" s="129"/>
      <c r="H86" s="129"/>
      <c r="I86" s="704"/>
      <c r="J86" s="129"/>
      <c r="K86" s="129"/>
      <c r="L86" s="704"/>
      <c r="M86" s="129"/>
      <c r="N86" s="129"/>
      <c r="O86" s="704"/>
      <c r="P86" s="129"/>
      <c r="Q86" s="129"/>
      <c r="R86" s="704"/>
      <c r="S86" s="129"/>
      <c r="T86" s="129"/>
      <c r="U86" s="704"/>
      <c r="V86" s="129"/>
      <c r="W86" s="129"/>
      <c r="X86" s="704"/>
      <c r="Y86" s="129"/>
    </row>
    <row r="87" spans="2:36">
      <c r="B87" s="129"/>
      <c r="C87" s="704"/>
      <c r="D87" s="129"/>
      <c r="E87" s="129"/>
      <c r="F87" s="704"/>
      <c r="G87" s="129"/>
      <c r="H87" s="129"/>
      <c r="I87" s="704"/>
      <c r="J87" s="129"/>
      <c r="K87" s="129"/>
      <c r="L87" s="704"/>
      <c r="M87" s="129"/>
      <c r="N87" s="129"/>
      <c r="O87" s="704"/>
      <c r="P87" s="129"/>
      <c r="Q87" s="129"/>
      <c r="R87" s="704"/>
      <c r="S87" s="129"/>
      <c r="T87" s="129"/>
      <c r="U87" s="704"/>
      <c r="V87" s="129"/>
      <c r="W87" s="129"/>
      <c r="X87" s="704"/>
      <c r="Y87" s="129"/>
    </row>
    <row r="88" spans="2:36">
      <c r="B88" s="129"/>
      <c r="C88" s="704"/>
      <c r="D88" s="129"/>
      <c r="E88" s="129"/>
      <c r="F88" s="704"/>
      <c r="G88" s="129"/>
      <c r="H88" s="129"/>
      <c r="I88" s="704"/>
      <c r="J88" s="129"/>
      <c r="K88" s="129"/>
      <c r="L88" s="704"/>
      <c r="M88" s="129"/>
      <c r="N88" s="129"/>
      <c r="O88" s="704"/>
      <c r="P88" s="129"/>
      <c r="Q88" s="129"/>
      <c r="R88" s="704"/>
      <c r="S88" s="129"/>
      <c r="T88" s="129"/>
      <c r="U88" s="704"/>
      <c r="V88" s="129"/>
      <c r="W88" s="129"/>
      <c r="X88" s="704"/>
      <c r="Y88" s="129"/>
    </row>
    <row r="89" spans="2:36">
      <c r="B89" s="129"/>
      <c r="C89" s="704"/>
      <c r="D89" s="129"/>
      <c r="E89" s="129"/>
      <c r="F89" s="704"/>
      <c r="G89" s="129"/>
      <c r="H89" s="129"/>
      <c r="I89" s="704"/>
      <c r="J89" s="129"/>
      <c r="K89" s="129"/>
      <c r="L89" s="704"/>
      <c r="M89" s="129"/>
      <c r="N89" s="129"/>
      <c r="O89" s="704"/>
      <c r="P89" s="129"/>
      <c r="Q89" s="129"/>
      <c r="R89" s="704"/>
      <c r="S89" s="129"/>
      <c r="T89" s="129"/>
      <c r="U89" s="704"/>
      <c r="V89" s="129"/>
      <c r="W89" s="129"/>
      <c r="X89" s="704"/>
      <c r="Y89" s="129"/>
    </row>
    <row r="90" spans="2:36">
      <c r="B90" s="129"/>
      <c r="C90" s="704"/>
      <c r="D90" s="129"/>
      <c r="E90" s="129"/>
      <c r="F90" s="704"/>
      <c r="G90" s="129"/>
      <c r="H90" s="129"/>
      <c r="I90" s="704"/>
      <c r="J90" s="129"/>
      <c r="K90" s="129"/>
      <c r="L90" s="704"/>
      <c r="M90" s="129"/>
      <c r="N90" s="129"/>
      <c r="O90" s="704"/>
      <c r="P90" s="129"/>
      <c r="Q90" s="129"/>
      <c r="R90" s="704"/>
      <c r="S90" s="129"/>
      <c r="T90" s="129"/>
      <c r="U90" s="704"/>
      <c r="V90" s="129"/>
      <c r="W90" s="129"/>
      <c r="X90" s="704"/>
      <c r="Y90" s="129"/>
    </row>
    <row r="91" spans="2:36">
      <c r="B91" s="129"/>
      <c r="C91" s="704"/>
      <c r="D91" s="129"/>
      <c r="E91" s="129"/>
      <c r="F91" s="704"/>
      <c r="G91" s="129"/>
      <c r="H91" s="129"/>
      <c r="I91" s="704"/>
      <c r="J91" s="129"/>
      <c r="K91" s="129"/>
      <c r="L91" s="704"/>
      <c r="M91" s="129"/>
      <c r="N91" s="129"/>
      <c r="O91" s="704"/>
      <c r="P91" s="129"/>
      <c r="Q91" s="129"/>
      <c r="R91" s="704"/>
      <c r="S91" s="129"/>
      <c r="T91" s="129"/>
      <c r="U91" s="704"/>
      <c r="V91" s="129"/>
      <c r="W91" s="129"/>
      <c r="X91" s="704"/>
      <c r="Y91" s="129"/>
    </row>
    <row r="92" spans="2:36">
      <c r="B92" s="129"/>
      <c r="C92" s="704"/>
      <c r="D92" s="129"/>
      <c r="E92" s="129"/>
      <c r="F92" s="704"/>
      <c r="G92" s="129"/>
      <c r="H92" s="129"/>
      <c r="I92" s="704"/>
      <c r="J92" s="129"/>
      <c r="K92" s="129"/>
      <c r="L92" s="704"/>
      <c r="M92" s="129"/>
      <c r="N92" s="129"/>
      <c r="O92" s="704"/>
      <c r="P92" s="129"/>
      <c r="Q92" s="129"/>
      <c r="R92" s="704"/>
      <c r="S92" s="129"/>
      <c r="T92" s="129"/>
      <c r="U92" s="704"/>
      <c r="V92" s="129"/>
      <c r="W92" s="129"/>
      <c r="X92" s="704"/>
      <c r="Y92" s="129"/>
    </row>
    <row r="93" spans="2:36">
      <c r="B93" s="129"/>
      <c r="C93" s="704"/>
      <c r="D93" s="129"/>
      <c r="E93" s="129"/>
      <c r="F93" s="704"/>
      <c r="G93" s="129"/>
      <c r="H93" s="129"/>
      <c r="I93" s="704"/>
      <c r="J93" s="129"/>
      <c r="K93" s="129"/>
      <c r="L93" s="704"/>
      <c r="M93" s="129"/>
      <c r="N93" s="129"/>
      <c r="O93" s="704"/>
      <c r="P93" s="129"/>
      <c r="Q93" s="129"/>
      <c r="R93" s="704"/>
      <c r="S93" s="129"/>
      <c r="T93" s="129"/>
      <c r="U93" s="704"/>
      <c r="V93" s="129"/>
      <c r="W93" s="129"/>
      <c r="X93" s="704"/>
      <c r="Y93" s="129"/>
    </row>
    <row r="94" spans="2:36">
      <c r="B94" s="129"/>
      <c r="C94" s="704"/>
      <c r="D94" s="129"/>
      <c r="E94" s="129"/>
      <c r="F94" s="704"/>
      <c r="G94" s="129"/>
      <c r="H94" s="129"/>
      <c r="I94" s="704"/>
      <c r="J94" s="129"/>
      <c r="K94" s="129"/>
      <c r="L94" s="704"/>
      <c r="M94" s="129"/>
      <c r="N94" s="129"/>
      <c r="O94" s="704"/>
      <c r="P94" s="129"/>
      <c r="Q94" s="129"/>
      <c r="R94" s="704"/>
      <c r="S94" s="129"/>
      <c r="T94" s="129"/>
      <c r="U94" s="704"/>
      <c r="V94" s="129"/>
      <c r="W94" s="129"/>
      <c r="X94" s="704"/>
      <c r="Y94" s="129"/>
    </row>
    <row r="95" spans="2:36">
      <c r="B95" s="129"/>
      <c r="C95" s="704"/>
      <c r="D95" s="129"/>
      <c r="E95" s="129"/>
      <c r="F95" s="704"/>
      <c r="G95" s="129"/>
      <c r="H95" s="129"/>
      <c r="I95" s="704"/>
      <c r="J95" s="129"/>
      <c r="K95" s="129"/>
      <c r="L95" s="704"/>
      <c r="M95" s="129"/>
      <c r="N95" s="129"/>
      <c r="O95" s="704"/>
      <c r="P95" s="129"/>
      <c r="Q95" s="129"/>
      <c r="R95" s="704"/>
      <c r="S95" s="129"/>
      <c r="T95" s="129"/>
      <c r="U95" s="704"/>
      <c r="V95" s="129"/>
      <c r="W95" s="129"/>
      <c r="X95" s="704"/>
      <c r="Y95" s="129"/>
    </row>
    <row r="96" spans="2:36">
      <c r="B96" s="129"/>
      <c r="C96" s="704"/>
      <c r="D96" s="129"/>
      <c r="E96" s="129"/>
      <c r="F96" s="704"/>
      <c r="G96" s="129"/>
      <c r="H96" s="129"/>
      <c r="I96" s="704"/>
      <c r="J96" s="129"/>
      <c r="K96" s="129"/>
      <c r="L96" s="704"/>
      <c r="M96" s="129"/>
      <c r="N96" s="129"/>
      <c r="O96" s="704"/>
      <c r="P96" s="129"/>
      <c r="Q96" s="129"/>
      <c r="R96" s="704"/>
      <c r="S96" s="129"/>
      <c r="T96" s="129"/>
      <c r="U96" s="704"/>
      <c r="V96" s="129"/>
      <c r="W96" s="129"/>
      <c r="X96" s="704"/>
      <c r="Y96" s="129"/>
    </row>
    <row r="97" spans="2:25">
      <c r="B97" s="129"/>
      <c r="C97" s="704"/>
      <c r="D97" s="129"/>
      <c r="E97" s="129"/>
      <c r="F97" s="704"/>
      <c r="G97" s="129"/>
      <c r="H97" s="129"/>
      <c r="I97" s="704"/>
      <c r="J97" s="129"/>
      <c r="K97" s="129"/>
      <c r="L97" s="704"/>
      <c r="M97" s="129"/>
      <c r="N97" s="129"/>
      <c r="O97" s="704"/>
      <c r="P97" s="129"/>
      <c r="Q97" s="129"/>
      <c r="R97" s="704"/>
      <c r="S97" s="129"/>
      <c r="T97" s="129"/>
      <c r="U97" s="704"/>
      <c r="V97" s="129"/>
      <c r="W97" s="129"/>
      <c r="X97" s="704"/>
      <c r="Y97" s="129"/>
    </row>
    <row r="98" spans="2:25">
      <c r="B98" s="129"/>
      <c r="C98" s="704"/>
      <c r="D98" s="129"/>
      <c r="E98" s="129"/>
      <c r="F98" s="704"/>
      <c r="G98" s="129"/>
      <c r="H98" s="129"/>
      <c r="I98" s="704"/>
      <c r="J98" s="129"/>
      <c r="K98" s="129"/>
      <c r="L98" s="704"/>
      <c r="M98" s="129"/>
      <c r="N98" s="129"/>
      <c r="O98" s="704"/>
      <c r="P98" s="129"/>
      <c r="Q98" s="129"/>
      <c r="R98" s="704"/>
      <c r="S98" s="129"/>
      <c r="T98" s="129"/>
      <c r="U98" s="704"/>
      <c r="V98" s="129"/>
      <c r="W98" s="129"/>
      <c r="X98" s="704"/>
      <c r="Y98" s="129"/>
    </row>
    <row r="99" spans="2:25">
      <c r="B99" s="129"/>
      <c r="C99" s="704"/>
      <c r="D99" s="129"/>
      <c r="E99" s="129"/>
      <c r="F99" s="704"/>
      <c r="G99" s="129"/>
      <c r="H99" s="129"/>
      <c r="I99" s="704"/>
      <c r="J99" s="129"/>
      <c r="K99" s="129"/>
      <c r="L99" s="704"/>
      <c r="M99" s="129"/>
      <c r="N99" s="129"/>
      <c r="O99" s="704"/>
      <c r="P99" s="129"/>
      <c r="Q99" s="129"/>
      <c r="R99" s="704"/>
      <c r="S99" s="129"/>
      <c r="T99" s="129"/>
      <c r="U99" s="704"/>
      <c r="V99" s="129"/>
      <c r="W99" s="129"/>
      <c r="X99" s="704"/>
      <c r="Y99" s="129"/>
    </row>
    <row r="100" spans="2:25">
      <c r="B100" s="129"/>
      <c r="C100" s="704"/>
      <c r="D100" s="129"/>
      <c r="E100" s="129"/>
      <c r="F100" s="704"/>
      <c r="G100" s="129"/>
      <c r="H100" s="129"/>
      <c r="I100" s="704"/>
      <c r="J100" s="129"/>
      <c r="K100" s="129"/>
      <c r="L100" s="704"/>
      <c r="M100" s="129"/>
      <c r="N100" s="129"/>
      <c r="O100" s="704"/>
      <c r="P100" s="129"/>
      <c r="Q100" s="129"/>
      <c r="R100" s="704"/>
      <c r="S100" s="129"/>
      <c r="T100" s="129"/>
      <c r="U100" s="704"/>
      <c r="V100" s="129"/>
      <c r="W100" s="129"/>
      <c r="X100" s="704"/>
      <c r="Y100" s="129"/>
    </row>
    <row r="101" spans="2:25">
      <c r="B101" s="129"/>
      <c r="C101" s="704"/>
      <c r="D101" s="129"/>
      <c r="E101" s="129"/>
      <c r="F101" s="704"/>
      <c r="G101" s="129"/>
      <c r="H101" s="129"/>
      <c r="I101" s="704"/>
      <c r="J101" s="129"/>
      <c r="K101" s="129"/>
      <c r="L101" s="704"/>
      <c r="M101" s="129"/>
      <c r="N101" s="129"/>
      <c r="O101" s="704"/>
      <c r="P101" s="129"/>
      <c r="Q101" s="129"/>
      <c r="R101" s="704"/>
      <c r="S101" s="129"/>
      <c r="T101" s="129"/>
      <c r="U101" s="704"/>
      <c r="V101" s="129"/>
      <c r="W101" s="129"/>
      <c r="X101" s="704"/>
      <c r="Y101" s="129"/>
    </row>
    <row r="102" spans="2:25">
      <c r="B102" s="129"/>
      <c r="C102" s="704"/>
      <c r="D102" s="129"/>
      <c r="E102" s="129"/>
      <c r="F102" s="704"/>
      <c r="G102" s="129"/>
      <c r="H102" s="129"/>
      <c r="I102" s="704"/>
      <c r="J102" s="129"/>
      <c r="K102" s="129"/>
      <c r="L102" s="704"/>
      <c r="M102" s="129"/>
      <c r="N102" s="129"/>
      <c r="O102" s="704"/>
      <c r="P102" s="129"/>
      <c r="Q102" s="129"/>
      <c r="R102" s="704"/>
      <c r="S102" s="129"/>
      <c r="T102" s="129"/>
      <c r="U102" s="704"/>
      <c r="V102" s="129"/>
      <c r="W102" s="129"/>
      <c r="X102" s="704"/>
      <c r="Y102" s="129"/>
    </row>
    <row r="103" spans="2:25">
      <c r="B103" s="129"/>
      <c r="C103" s="704"/>
      <c r="D103" s="129"/>
      <c r="E103" s="129"/>
      <c r="F103" s="704"/>
      <c r="G103" s="129"/>
      <c r="H103" s="129"/>
      <c r="I103" s="704"/>
      <c r="J103" s="129"/>
      <c r="K103" s="129"/>
      <c r="L103" s="704"/>
      <c r="M103" s="129"/>
      <c r="N103" s="129"/>
      <c r="O103" s="704"/>
      <c r="P103" s="129"/>
      <c r="Q103" s="129"/>
      <c r="R103" s="704"/>
      <c r="S103" s="129"/>
      <c r="T103" s="129"/>
      <c r="U103" s="704"/>
      <c r="V103" s="129"/>
      <c r="W103" s="129"/>
      <c r="X103" s="704"/>
      <c r="Y103" s="129"/>
    </row>
    <row r="104" spans="2:25">
      <c r="B104" s="129"/>
      <c r="C104" s="704"/>
      <c r="D104" s="129"/>
      <c r="E104" s="129"/>
      <c r="F104" s="704"/>
      <c r="G104" s="129"/>
      <c r="H104" s="129"/>
      <c r="I104" s="704"/>
      <c r="J104" s="129"/>
      <c r="K104" s="129"/>
      <c r="L104" s="704"/>
      <c r="M104" s="129"/>
      <c r="N104" s="129"/>
      <c r="O104" s="704"/>
      <c r="P104" s="129"/>
      <c r="Q104" s="129"/>
      <c r="R104" s="704"/>
      <c r="S104" s="129"/>
      <c r="T104" s="129"/>
      <c r="U104" s="704"/>
      <c r="V104" s="129"/>
      <c r="W104" s="129"/>
      <c r="X104" s="704"/>
      <c r="Y104" s="129"/>
    </row>
    <row r="105" spans="2:25">
      <c r="B105" s="129"/>
      <c r="C105" s="704"/>
      <c r="D105" s="129"/>
      <c r="E105" s="129"/>
      <c r="F105" s="704"/>
      <c r="G105" s="129"/>
      <c r="H105" s="129"/>
      <c r="I105" s="704"/>
      <c r="J105" s="129"/>
      <c r="K105" s="129"/>
      <c r="L105" s="704"/>
      <c r="M105" s="129"/>
      <c r="N105" s="129"/>
      <c r="O105" s="704"/>
      <c r="P105" s="129"/>
      <c r="Q105" s="129"/>
      <c r="R105" s="704"/>
      <c r="S105" s="129"/>
      <c r="T105" s="129"/>
      <c r="U105" s="704"/>
      <c r="V105" s="129"/>
      <c r="W105" s="129"/>
      <c r="X105" s="704"/>
      <c r="Y105" s="129"/>
    </row>
    <row r="106" spans="2:25">
      <c r="B106" s="129"/>
      <c r="C106" s="704"/>
      <c r="D106" s="129"/>
      <c r="E106" s="129"/>
      <c r="F106" s="704"/>
      <c r="G106" s="129"/>
      <c r="H106" s="129"/>
      <c r="I106" s="704"/>
      <c r="J106" s="129"/>
      <c r="K106" s="129"/>
      <c r="L106" s="704"/>
      <c r="M106" s="129"/>
      <c r="N106" s="129"/>
      <c r="O106" s="704"/>
      <c r="P106" s="129"/>
      <c r="Q106" s="129"/>
      <c r="R106" s="704"/>
      <c r="S106" s="129"/>
      <c r="T106" s="129"/>
      <c r="U106" s="704"/>
      <c r="V106" s="129"/>
      <c r="W106" s="129"/>
      <c r="X106" s="704"/>
      <c r="Y106" s="129"/>
    </row>
    <row r="107" spans="2:25">
      <c r="B107" s="129"/>
      <c r="C107" s="704"/>
      <c r="D107" s="129"/>
      <c r="E107" s="129"/>
      <c r="F107" s="704"/>
      <c r="G107" s="129"/>
      <c r="H107" s="129"/>
      <c r="I107" s="704"/>
      <c r="J107" s="129"/>
      <c r="K107" s="129"/>
      <c r="L107" s="704"/>
      <c r="M107" s="129"/>
      <c r="N107" s="129"/>
      <c r="O107" s="704"/>
      <c r="P107" s="129"/>
      <c r="Q107" s="129"/>
      <c r="R107" s="704"/>
      <c r="S107" s="129"/>
      <c r="T107" s="129"/>
      <c r="U107" s="704"/>
      <c r="V107" s="129"/>
      <c r="W107" s="129"/>
      <c r="X107" s="704"/>
      <c r="Y107" s="129"/>
    </row>
    <row r="108" spans="2:25">
      <c r="B108" s="129"/>
      <c r="C108" s="704"/>
      <c r="D108" s="129"/>
      <c r="E108" s="129"/>
      <c r="F108" s="704"/>
      <c r="G108" s="129"/>
      <c r="H108" s="129"/>
      <c r="I108" s="704"/>
      <c r="J108" s="129"/>
      <c r="K108" s="129"/>
      <c r="L108" s="704"/>
      <c r="M108" s="129"/>
      <c r="N108" s="129"/>
      <c r="O108" s="704"/>
      <c r="P108" s="129"/>
      <c r="Q108" s="129"/>
      <c r="R108" s="704"/>
      <c r="S108" s="129"/>
      <c r="T108" s="129"/>
      <c r="U108" s="704"/>
      <c r="V108" s="129"/>
      <c r="W108" s="129"/>
      <c r="X108" s="704"/>
      <c r="Y108" s="129"/>
    </row>
    <row r="109" spans="2:25">
      <c r="B109" s="129"/>
      <c r="C109" s="704"/>
      <c r="D109" s="129"/>
      <c r="E109" s="129"/>
      <c r="F109" s="704"/>
      <c r="G109" s="129"/>
      <c r="H109" s="129"/>
      <c r="I109" s="704"/>
      <c r="J109" s="129"/>
      <c r="K109" s="129"/>
      <c r="L109" s="704"/>
      <c r="M109" s="129"/>
      <c r="N109" s="129"/>
      <c r="O109" s="704"/>
      <c r="P109" s="129"/>
      <c r="Q109" s="129"/>
      <c r="R109" s="704"/>
      <c r="S109" s="129"/>
      <c r="T109" s="129"/>
      <c r="U109" s="704"/>
      <c r="V109" s="129"/>
      <c r="W109" s="129"/>
      <c r="X109" s="704"/>
      <c r="Y109" s="129"/>
    </row>
    <row r="110" spans="2:25">
      <c r="B110" s="129"/>
      <c r="C110" s="704"/>
      <c r="D110" s="129"/>
      <c r="E110" s="129"/>
      <c r="F110" s="704"/>
      <c r="G110" s="129"/>
      <c r="H110" s="129"/>
      <c r="I110" s="704"/>
      <c r="J110" s="129"/>
      <c r="K110" s="129"/>
      <c r="L110" s="704"/>
      <c r="M110" s="129"/>
      <c r="N110" s="129"/>
      <c r="O110" s="704"/>
      <c r="P110" s="129"/>
      <c r="Q110" s="129"/>
      <c r="R110" s="704"/>
      <c r="S110" s="129"/>
      <c r="T110" s="129"/>
      <c r="U110" s="704"/>
      <c r="V110" s="129"/>
      <c r="W110" s="129"/>
      <c r="X110" s="704"/>
      <c r="Y110" s="129"/>
    </row>
    <row r="111" spans="2:25">
      <c r="B111" s="129"/>
      <c r="C111" s="704"/>
      <c r="D111" s="129"/>
      <c r="E111" s="129"/>
      <c r="F111" s="704"/>
      <c r="G111" s="129"/>
      <c r="H111" s="129"/>
      <c r="I111" s="704"/>
      <c r="J111" s="129"/>
      <c r="K111" s="129"/>
      <c r="L111" s="704"/>
      <c r="M111" s="129"/>
      <c r="N111" s="129"/>
      <c r="O111" s="704"/>
      <c r="P111" s="129"/>
      <c r="Q111" s="129"/>
      <c r="R111" s="704"/>
      <c r="S111" s="129"/>
      <c r="T111" s="129"/>
      <c r="U111" s="704"/>
      <c r="V111" s="129"/>
      <c r="W111" s="129"/>
      <c r="X111" s="704"/>
      <c r="Y111" s="129"/>
    </row>
    <row r="112" spans="2:25">
      <c r="B112" s="129"/>
      <c r="C112" s="704"/>
      <c r="D112" s="129"/>
      <c r="E112" s="129"/>
      <c r="F112" s="704"/>
      <c r="G112" s="129"/>
      <c r="H112" s="129"/>
      <c r="I112" s="704"/>
      <c r="J112" s="129"/>
      <c r="K112" s="129"/>
      <c r="L112" s="704"/>
      <c r="M112" s="129"/>
      <c r="N112" s="129"/>
      <c r="O112" s="704"/>
      <c r="P112" s="129"/>
      <c r="Q112" s="129"/>
      <c r="R112" s="704"/>
      <c r="S112" s="129"/>
      <c r="T112" s="129"/>
      <c r="U112" s="704"/>
      <c r="V112" s="129"/>
      <c r="W112" s="129"/>
      <c r="X112" s="704"/>
      <c r="Y112" s="129"/>
    </row>
    <row r="113" spans="2:25">
      <c r="B113" s="129"/>
      <c r="C113" s="704"/>
      <c r="D113" s="129"/>
      <c r="E113" s="129"/>
      <c r="F113" s="704"/>
      <c r="G113" s="129"/>
      <c r="H113" s="129"/>
      <c r="I113" s="704"/>
      <c r="J113" s="129"/>
      <c r="K113" s="129"/>
      <c r="L113" s="704"/>
      <c r="M113" s="129"/>
      <c r="N113" s="129"/>
      <c r="O113" s="704"/>
      <c r="P113" s="129"/>
      <c r="Q113" s="129"/>
      <c r="R113" s="704"/>
      <c r="S113" s="129"/>
      <c r="T113" s="129"/>
      <c r="U113" s="704"/>
      <c r="V113" s="129"/>
      <c r="W113" s="129"/>
      <c r="X113" s="704"/>
      <c r="Y113" s="129"/>
    </row>
    <row r="114" spans="2:25">
      <c r="B114" s="129"/>
      <c r="C114" s="704"/>
      <c r="D114" s="129"/>
      <c r="E114" s="129"/>
      <c r="F114" s="704"/>
      <c r="G114" s="129"/>
      <c r="H114" s="129"/>
      <c r="I114" s="704"/>
      <c r="J114" s="129"/>
      <c r="K114" s="129"/>
      <c r="L114" s="704"/>
      <c r="M114" s="129"/>
      <c r="N114" s="129"/>
      <c r="O114" s="704"/>
      <c r="P114" s="129"/>
      <c r="Q114" s="129"/>
      <c r="R114" s="704"/>
      <c r="S114" s="129"/>
      <c r="T114" s="129"/>
      <c r="U114" s="704"/>
      <c r="V114" s="129"/>
      <c r="W114" s="129"/>
      <c r="X114" s="704"/>
      <c r="Y114" s="129"/>
    </row>
    <row r="115" spans="2:25">
      <c r="B115" s="129"/>
      <c r="C115" s="704"/>
      <c r="D115" s="129"/>
      <c r="E115" s="129"/>
      <c r="F115" s="704"/>
      <c r="G115" s="129"/>
      <c r="H115" s="129"/>
      <c r="I115" s="704"/>
      <c r="J115" s="129"/>
      <c r="K115" s="129"/>
      <c r="L115" s="704"/>
      <c r="M115" s="129"/>
      <c r="N115" s="129"/>
      <c r="O115" s="704"/>
      <c r="P115" s="129"/>
      <c r="Q115" s="129"/>
      <c r="R115" s="704"/>
      <c r="S115" s="129"/>
      <c r="T115" s="129"/>
      <c r="U115" s="704"/>
      <c r="V115" s="129"/>
      <c r="W115" s="129"/>
      <c r="X115" s="704"/>
      <c r="Y115" s="129"/>
    </row>
    <row r="116" spans="2:25">
      <c r="B116" s="129"/>
      <c r="C116" s="704"/>
      <c r="D116" s="129"/>
      <c r="E116" s="129"/>
      <c r="F116" s="704"/>
      <c r="G116" s="129"/>
      <c r="H116" s="129"/>
      <c r="I116" s="704"/>
      <c r="J116" s="129"/>
      <c r="K116" s="129"/>
      <c r="L116" s="704"/>
      <c r="M116" s="129"/>
      <c r="N116" s="129"/>
      <c r="O116" s="704"/>
      <c r="P116" s="129"/>
      <c r="Q116" s="129"/>
      <c r="R116" s="704"/>
      <c r="S116" s="129"/>
      <c r="T116" s="129"/>
      <c r="U116" s="704"/>
      <c r="V116" s="129"/>
      <c r="W116" s="129"/>
      <c r="X116" s="704"/>
      <c r="Y116" s="129"/>
    </row>
    <row r="117" spans="2:25">
      <c r="B117" s="129"/>
      <c r="C117" s="704"/>
      <c r="D117" s="129"/>
      <c r="E117" s="129"/>
      <c r="F117" s="704"/>
      <c r="G117" s="129"/>
      <c r="H117" s="129"/>
      <c r="I117" s="704"/>
      <c r="J117" s="129"/>
      <c r="K117" s="129"/>
      <c r="L117" s="704"/>
      <c r="M117" s="129"/>
      <c r="N117" s="129"/>
      <c r="O117" s="704"/>
      <c r="P117" s="129"/>
      <c r="Q117" s="129"/>
      <c r="R117" s="704"/>
      <c r="S117" s="129"/>
      <c r="T117" s="129"/>
      <c r="U117" s="704"/>
      <c r="V117" s="129"/>
      <c r="W117" s="129"/>
      <c r="X117" s="704"/>
      <c r="Y117" s="129"/>
    </row>
    <row r="118" spans="2:25">
      <c r="B118" s="129"/>
      <c r="C118" s="704"/>
      <c r="D118" s="129"/>
      <c r="E118" s="129"/>
      <c r="F118" s="704"/>
      <c r="G118" s="129"/>
      <c r="H118" s="129"/>
      <c r="I118" s="704"/>
      <c r="J118" s="129"/>
      <c r="K118" s="129"/>
      <c r="L118" s="704"/>
      <c r="M118" s="129"/>
      <c r="N118" s="129"/>
      <c r="O118" s="704"/>
      <c r="P118" s="129"/>
      <c r="Q118" s="129"/>
      <c r="R118" s="704"/>
      <c r="S118" s="129"/>
      <c r="T118" s="129"/>
      <c r="U118" s="704"/>
      <c r="V118" s="129"/>
      <c r="W118" s="129"/>
      <c r="X118" s="704"/>
      <c r="Y118" s="129"/>
    </row>
    <row r="119" spans="2:25">
      <c r="B119" s="129"/>
      <c r="C119" s="704"/>
      <c r="D119" s="129"/>
      <c r="E119" s="129"/>
      <c r="F119" s="704"/>
      <c r="G119" s="129"/>
      <c r="H119" s="129"/>
      <c r="I119" s="704"/>
      <c r="J119" s="129"/>
      <c r="K119" s="129"/>
      <c r="L119" s="704"/>
      <c r="M119" s="129"/>
      <c r="N119" s="129"/>
      <c r="O119" s="704"/>
      <c r="P119" s="129"/>
      <c r="Q119" s="129"/>
      <c r="R119" s="704"/>
      <c r="S119" s="129"/>
      <c r="T119" s="129"/>
      <c r="U119" s="704"/>
      <c r="V119" s="129"/>
      <c r="W119" s="129"/>
      <c r="X119" s="704"/>
      <c r="Y119" s="129"/>
    </row>
    <row r="120" spans="2:25">
      <c r="B120" s="129"/>
      <c r="C120" s="704"/>
      <c r="D120" s="129"/>
      <c r="E120" s="129"/>
      <c r="F120" s="704"/>
      <c r="G120" s="129"/>
      <c r="H120" s="129"/>
      <c r="I120" s="704"/>
      <c r="J120" s="129"/>
      <c r="K120" s="129"/>
      <c r="L120" s="704"/>
      <c r="M120" s="129"/>
      <c r="N120" s="129"/>
      <c r="O120" s="704"/>
      <c r="P120" s="129"/>
      <c r="Q120" s="129"/>
      <c r="R120" s="704"/>
      <c r="S120" s="129"/>
      <c r="T120" s="129"/>
      <c r="U120" s="704"/>
      <c r="V120" s="129"/>
      <c r="W120" s="129"/>
      <c r="X120" s="704"/>
      <c r="Y120" s="129"/>
    </row>
    <row r="121" spans="2:25">
      <c r="B121" s="129"/>
      <c r="C121" s="704"/>
      <c r="D121" s="129"/>
      <c r="E121" s="129"/>
      <c r="F121" s="704"/>
      <c r="G121" s="129"/>
      <c r="H121" s="129"/>
      <c r="I121" s="704"/>
      <c r="J121" s="129"/>
      <c r="K121" s="129"/>
      <c r="L121" s="704"/>
      <c r="M121" s="129"/>
      <c r="N121" s="129"/>
      <c r="O121" s="704"/>
      <c r="P121" s="129"/>
      <c r="Q121" s="129"/>
      <c r="R121" s="704"/>
      <c r="S121" s="129"/>
      <c r="T121" s="129"/>
      <c r="U121" s="704"/>
      <c r="V121" s="129"/>
      <c r="W121" s="129"/>
      <c r="X121" s="704"/>
      <c r="Y121" s="129"/>
    </row>
    <row r="122" spans="2:25">
      <c r="B122" s="129"/>
      <c r="C122" s="704"/>
      <c r="D122" s="129"/>
      <c r="E122" s="129"/>
      <c r="F122" s="704"/>
      <c r="G122" s="129"/>
      <c r="H122" s="129"/>
      <c r="I122" s="704"/>
      <c r="J122" s="129"/>
      <c r="K122" s="129"/>
      <c r="L122" s="704"/>
      <c r="M122" s="129"/>
      <c r="N122" s="129"/>
      <c r="O122" s="704"/>
      <c r="P122" s="129"/>
      <c r="Q122" s="129"/>
      <c r="R122" s="704"/>
      <c r="S122" s="129"/>
      <c r="T122" s="129"/>
      <c r="U122" s="704"/>
      <c r="V122" s="129"/>
      <c r="W122" s="129"/>
      <c r="X122" s="704"/>
      <c r="Y122" s="129"/>
    </row>
    <row r="123" spans="2:25">
      <c r="B123" s="129"/>
      <c r="C123" s="704"/>
      <c r="D123" s="129"/>
      <c r="E123" s="129"/>
      <c r="F123" s="704"/>
      <c r="G123" s="129"/>
      <c r="H123" s="129"/>
      <c r="I123" s="704"/>
      <c r="J123" s="129"/>
      <c r="K123" s="129"/>
      <c r="L123" s="704"/>
      <c r="M123" s="129"/>
      <c r="N123" s="129"/>
      <c r="O123" s="704"/>
      <c r="P123" s="129"/>
      <c r="Q123" s="129"/>
      <c r="R123" s="704"/>
      <c r="S123" s="129"/>
      <c r="T123" s="129"/>
      <c r="U123" s="704"/>
      <c r="V123" s="129"/>
      <c r="W123" s="129"/>
      <c r="X123" s="704"/>
      <c r="Y123" s="129"/>
    </row>
    <row r="124" spans="2:25">
      <c r="B124" s="129"/>
      <c r="C124" s="704"/>
      <c r="D124" s="129"/>
      <c r="E124" s="129"/>
      <c r="F124" s="704"/>
      <c r="G124" s="129"/>
      <c r="H124" s="129"/>
      <c r="I124" s="704"/>
      <c r="J124" s="129"/>
      <c r="K124" s="129"/>
      <c r="L124" s="704"/>
      <c r="M124" s="129"/>
      <c r="N124" s="129"/>
      <c r="O124" s="704"/>
      <c r="P124" s="129"/>
      <c r="Q124" s="129"/>
      <c r="R124" s="704"/>
      <c r="S124" s="129"/>
      <c r="T124" s="129"/>
      <c r="U124" s="704"/>
      <c r="V124" s="129"/>
      <c r="W124" s="129"/>
      <c r="X124" s="704"/>
      <c r="Y124" s="129"/>
    </row>
    <row r="125" spans="2:25">
      <c r="B125" s="129"/>
      <c r="C125" s="704"/>
      <c r="D125" s="129"/>
      <c r="E125" s="129"/>
      <c r="F125" s="704"/>
      <c r="G125" s="129"/>
      <c r="H125" s="129"/>
      <c r="I125" s="704"/>
      <c r="J125" s="129"/>
      <c r="K125" s="129"/>
      <c r="L125" s="704"/>
      <c r="M125" s="129"/>
      <c r="N125" s="129"/>
      <c r="O125" s="704"/>
      <c r="P125" s="129"/>
      <c r="Q125" s="129"/>
      <c r="R125" s="704"/>
      <c r="S125" s="129"/>
      <c r="T125" s="129"/>
      <c r="U125" s="704"/>
      <c r="V125" s="129"/>
      <c r="W125" s="129"/>
      <c r="X125" s="704"/>
      <c r="Y125" s="129"/>
    </row>
    <row r="126" spans="2:25">
      <c r="B126" s="129"/>
      <c r="C126" s="704"/>
      <c r="D126" s="129"/>
      <c r="E126" s="129"/>
      <c r="F126" s="704"/>
      <c r="G126" s="129"/>
      <c r="H126" s="129"/>
      <c r="I126" s="704"/>
      <c r="J126" s="129"/>
      <c r="K126" s="129"/>
      <c r="L126" s="704"/>
      <c r="M126" s="129"/>
      <c r="N126" s="129"/>
      <c r="O126" s="704"/>
      <c r="P126" s="129"/>
      <c r="Q126" s="129"/>
      <c r="R126" s="704"/>
      <c r="S126" s="129"/>
      <c r="T126" s="129"/>
      <c r="U126" s="704"/>
      <c r="V126" s="129"/>
      <c r="W126" s="129"/>
      <c r="X126" s="704"/>
      <c r="Y126" s="129"/>
    </row>
    <row r="127" spans="2:25">
      <c r="B127" s="129"/>
      <c r="C127" s="704"/>
      <c r="D127" s="129"/>
      <c r="E127" s="129"/>
      <c r="F127" s="704"/>
      <c r="G127" s="129"/>
      <c r="H127" s="129"/>
      <c r="I127" s="704"/>
      <c r="J127" s="129"/>
      <c r="K127" s="129"/>
      <c r="L127" s="704"/>
      <c r="M127" s="129"/>
      <c r="N127" s="129"/>
      <c r="O127" s="704"/>
      <c r="P127" s="129"/>
      <c r="Q127" s="129"/>
      <c r="R127" s="704"/>
      <c r="S127" s="129"/>
      <c r="T127" s="129"/>
      <c r="U127" s="704"/>
      <c r="V127" s="129"/>
      <c r="W127" s="129"/>
      <c r="X127" s="704"/>
      <c r="Y127" s="129"/>
    </row>
    <row r="128" spans="2:25">
      <c r="B128" s="129"/>
      <c r="C128" s="704"/>
      <c r="D128" s="129"/>
      <c r="E128" s="129"/>
      <c r="F128" s="704"/>
      <c r="G128" s="129"/>
      <c r="H128" s="129"/>
      <c r="I128" s="704"/>
      <c r="J128" s="129"/>
      <c r="K128" s="129"/>
      <c r="L128" s="704"/>
      <c r="M128" s="129"/>
      <c r="N128" s="129"/>
      <c r="O128" s="704"/>
      <c r="P128" s="129"/>
      <c r="Q128" s="129"/>
      <c r="R128" s="704"/>
      <c r="S128" s="129"/>
      <c r="T128" s="129"/>
      <c r="U128" s="704"/>
      <c r="V128" s="129"/>
      <c r="W128" s="129"/>
      <c r="X128" s="704"/>
      <c r="Y128" s="129"/>
    </row>
    <row r="129" spans="2:25">
      <c r="B129" s="129"/>
      <c r="C129" s="704"/>
      <c r="D129" s="129"/>
      <c r="E129" s="129"/>
      <c r="F129" s="704"/>
      <c r="G129" s="129"/>
      <c r="H129" s="129"/>
      <c r="I129" s="704"/>
      <c r="J129" s="129"/>
      <c r="K129" s="129"/>
      <c r="L129" s="704"/>
      <c r="M129" s="129"/>
      <c r="N129" s="129"/>
      <c r="O129" s="704"/>
      <c r="P129" s="129"/>
      <c r="Q129" s="129"/>
      <c r="R129" s="704"/>
      <c r="S129" s="129"/>
      <c r="T129" s="129"/>
      <c r="U129" s="704"/>
      <c r="V129" s="129"/>
      <c r="W129" s="129"/>
      <c r="X129" s="704"/>
      <c r="Y129" s="129"/>
    </row>
    <row r="130" spans="2:25">
      <c r="B130" s="129"/>
      <c r="C130" s="704"/>
      <c r="D130" s="129"/>
      <c r="E130" s="129"/>
      <c r="F130" s="704"/>
      <c r="G130" s="129"/>
      <c r="H130" s="129"/>
      <c r="I130" s="704"/>
      <c r="J130" s="129"/>
      <c r="K130" s="129"/>
      <c r="L130" s="704"/>
      <c r="M130" s="129"/>
      <c r="N130" s="129"/>
      <c r="O130" s="704"/>
      <c r="P130" s="129"/>
      <c r="Q130" s="129"/>
      <c r="R130" s="704"/>
      <c r="S130" s="129"/>
      <c r="T130" s="129"/>
      <c r="U130" s="704"/>
      <c r="V130" s="129"/>
      <c r="W130" s="129"/>
      <c r="X130" s="704"/>
      <c r="Y130" s="129"/>
    </row>
    <row r="131" spans="2:25">
      <c r="B131" s="129"/>
      <c r="C131" s="704"/>
      <c r="D131" s="129"/>
      <c r="E131" s="129"/>
      <c r="F131" s="704"/>
      <c r="G131" s="129"/>
      <c r="H131" s="129"/>
      <c r="I131" s="704"/>
      <c r="J131" s="129"/>
      <c r="K131" s="129"/>
      <c r="L131" s="704"/>
      <c r="M131" s="129"/>
      <c r="N131" s="129"/>
      <c r="O131" s="704"/>
      <c r="P131" s="129"/>
      <c r="Q131" s="129"/>
      <c r="R131" s="704"/>
      <c r="S131" s="129"/>
      <c r="T131" s="129"/>
      <c r="U131" s="704"/>
      <c r="V131" s="129"/>
      <c r="W131" s="129"/>
      <c r="X131" s="704"/>
      <c r="Y131" s="129"/>
    </row>
    <row r="132" spans="2:25">
      <c r="B132" s="129"/>
      <c r="C132" s="704"/>
      <c r="D132" s="129"/>
      <c r="E132" s="129"/>
      <c r="F132" s="704"/>
      <c r="G132" s="129"/>
      <c r="H132" s="129"/>
      <c r="I132" s="704"/>
      <c r="J132" s="129"/>
      <c r="K132" s="129"/>
      <c r="L132" s="704"/>
      <c r="M132" s="129"/>
      <c r="N132" s="129"/>
      <c r="O132" s="704"/>
      <c r="P132" s="129"/>
      <c r="Q132" s="129"/>
      <c r="R132" s="704"/>
      <c r="S132" s="129"/>
      <c r="T132" s="129"/>
      <c r="U132" s="704"/>
      <c r="V132" s="129"/>
      <c r="W132" s="129"/>
      <c r="X132" s="704"/>
      <c r="Y132" s="129"/>
    </row>
    <row r="133" spans="2:25">
      <c r="B133" s="129"/>
      <c r="C133" s="704"/>
      <c r="D133" s="129"/>
      <c r="E133" s="129"/>
      <c r="F133" s="704"/>
      <c r="G133" s="129"/>
      <c r="H133" s="129"/>
      <c r="I133" s="704"/>
      <c r="J133" s="129"/>
      <c r="K133" s="129"/>
      <c r="L133" s="704"/>
      <c r="M133" s="129"/>
      <c r="N133" s="129"/>
      <c r="O133" s="704"/>
      <c r="P133" s="129"/>
      <c r="Q133" s="129"/>
      <c r="R133" s="704"/>
      <c r="S133" s="129"/>
      <c r="T133" s="129"/>
      <c r="U133" s="704"/>
      <c r="V133" s="129"/>
      <c r="W133" s="129"/>
      <c r="X133" s="704"/>
      <c r="Y133" s="129"/>
    </row>
    <row r="134" spans="2:25">
      <c r="B134" s="129"/>
      <c r="C134" s="704"/>
      <c r="D134" s="129"/>
      <c r="E134" s="129"/>
      <c r="F134" s="704"/>
      <c r="G134" s="129"/>
      <c r="H134" s="129"/>
      <c r="I134" s="704"/>
      <c r="J134" s="129"/>
      <c r="K134" s="129"/>
      <c r="L134" s="704"/>
      <c r="M134" s="129"/>
      <c r="N134" s="129"/>
      <c r="O134" s="704"/>
      <c r="P134" s="129"/>
      <c r="Q134" s="129"/>
      <c r="R134" s="704"/>
      <c r="S134" s="129"/>
      <c r="T134" s="129"/>
      <c r="U134" s="704"/>
      <c r="V134" s="129"/>
      <c r="W134" s="129"/>
      <c r="X134" s="704"/>
      <c r="Y134" s="129"/>
    </row>
    <row r="135" spans="2:25">
      <c r="B135" s="129"/>
      <c r="C135" s="704"/>
      <c r="D135" s="129"/>
      <c r="E135" s="129"/>
      <c r="F135" s="704"/>
      <c r="G135" s="129"/>
      <c r="H135" s="129"/>
      <c r="I135" s="704"/>
      <c r="J135" s="129"/>
      <c r="K135" s="129"/>
      <c r="L135" s="704"/>
      <c r="M135" s="129"/>
      <c r="N135" s="129"/>
      <c r="O135" s="704"/>
      <c r="P135" s="129"/>
      <c r="Q135" s="129"/>
      <c r="R135" s="704"/>
      <c r="S135" s="129"/>
      <c r="T135" s="129"/>
      <c r="U135" s="704"/>
      <c r="V135" s="129"/>
      <c r="W135" s="129"/>
      <c r="X135" s="704"/>
      <c r="Y135" s="129"/>
    </row>
    <row r="136" spans="2:25">
      <c r="B136" s="129"/>
      <c r="C136" s="704"/>
      <c r="D136" s="129"/>
      <c r="E136" s="129"/>
      <c r="F136" s="704"/>
      <c r="G136" s="129"/>
      <c r="H136" s="129"/>
      <c r="I136" s="704"/>
      <c r="J136" s="129"/>
      <c r="K136" s="129"/>
      <c r="L136" s="704"/>
      <c r="M136" s="129"/>
      <c r="N136" s="129"/>
      <c r="O136" s="704"/>
      <c r="P136" s="129"/>
      <c r="Q136" s="129"/>
      <c r="R136" s="704"/>
      <c r="S136" s="129"/>
      <c r="T136" s="129"/>
      <c r="U136" s="704"/>
      <c r="V136" s="129"/>
      <c r="W136" s="129"/>
      <c r="X136" s="704"/>
      <c r="Y136" s="129"/>
    </row>
    <row r="137" spans="2:25">
      <c r="B137" s="129"/>
      <c r="C137" s="704"/>
      <c r="D137" s="129"/>
      <c r="E137" s="129"/>
      <c r="F137" s="704"/>
      <c r="G137" s="129"/>
      <c r="H137" s="129"/>
      <c r="I137" s="704"/>
      <c r="J137" s="129"/>
      <c r="K137" s="129"/>
      <c r="L137" s="704"/>
      <c r="M137" s="129"/>
      <c r="N137" s="129"/>
      <c r="O137" s="704"/>
      <c r="P137" s="129"/>
      <c r="Q137" s="129"/>
      <c r="R137" s="704"/>
      <c r="S137" s="129"/>
      <c r="T137" s="129"/>
      <c r="U137" s="704"/>
      <c r="V137" s="129"/>
      <c r="W137" s="129"/>
      <c r="X137" s="704"/>
      <c r="Y137" s="129"/>
    </row>
    <row r="138" spans="2:25">
      <c r="B138" s="129"/>
      <c r="C138" s="704"/>
      <c r="D138" s="129"/>
      <c r="E138" s="129"/>
      <c r="F138" s="704"/>
      <c r="G138" s="129"/>
      <c r="H138" s="129"/>
      <c r="I138" s="704"/>
      <c r="J138" s="129"/>
      <c r="K138" s="129"/>
      <c r="L138" s="704"/>
      <c r="M138" s="129"/>
      <c r="N138" s="129"/>
      <c r="O138" s="704"/>
      <c r="P138" s="129"/>
      <c r="Q138" s="129"/>
      <c r="R138" s="704"/>
      <c r="S138" s="129"/>
      <c r="T138" s="129"/>
      <c r="U138" s="704"/>
      <c r="V138" s="129"/>
      <c r="W138" s="129"/>
      <c r="X138" s="704"/>
      <c r="Y138" s="129"/>
    </row>
    <row r="139" spans="2:25">
      <c r="B139" s="129"/>
      <c r="C139" s="704"/>
      <c r="D139" s="129"/>
      <c r="E139" s="129"/>
      <c r="F139" s="704"/>
      <c r="G139" s="129"/>
      <c r="H139" s="129"/>
      <c r="I139" s="704"/>
      <c r="J139" s="129"/>
      <c r="K139" s="129"/>
      <c r="L139" s="704"/>
      <c r="M139" s="129"/>
      <c r="N139" s="129"/>
      <c r="O139" s="704"/>
      <c r="P139" s="129"/>
      <c r="Q139" s="129"/>
      <c r="R139" s="704"/>
      <c r="S139" s="129"/>
      <c r="T139" s="129"/>
      <c r="U139" s="704"/>
      <c r="V139" s="129"/>
      <c r="W139" s="129"/>
      <c r="X139" s="704"/>
      <c r="Y139" s="129"/>
    </row>
    <row r="140" spans="2:25">
      <c r="B140" s="129"/>
      <c r="C140" s="704"/>
      <c r="D140" s="129"/>
      <c r="E140" s="129"/>
      <c r="F140" s="704"/>
      <c r="G140" s="129"/>
      <c r="H140" s="129"/>
      <c r="I140" s="704"/>
      <c r="J140" s="129"/>
      <c r="K140" s="129"/>
      <c r="L140" s="704"/>
      <c r="M140" s="129"/>
      <c r="N140" s="129"/>
      <c r="O140" s="704"/>
      <c r="P140" s="129"/>
      <c r="Q140" s="129"/>
      <c r="R140" s="704"/>
      <c r="S140" s="129"/>
      <c r="T140" s="129"/>
      <c r="U140" s="704"/>
      <c r="V140" s="129"/>
      <c r="W140" s="129"/>
      <c r="X140" s="704"/>
      <c r="Y140" s="129"/>
    </row>
    <row r="141" spans="2:25">
      <c r="B141" s="129"/>
      <c r="C141" s="704"/>
      <c r="D141" s="129"/>
      <c r="E141" s="129"/>
      <c r="F141" s="704"/>
      <c r="G141" s="129"/>
      <c r="H141" s="129"/>
      <c r="I141" s="704"/>
      <c r="J141" s="129"/>
      <c r="K141" s="129"/>
      <c r="L141" s="704"/>
      <c r="M141" s="129"/>
      <c r="N141" s="129"/>
      <c r="O141" s="704"/>
      <c r="P141" s="129"/>
      <c r="Q141" s="129"/>
      <c r="R141" s="704"/>
      <c r="S141" s="129"/>
      <c r="T141" s="129"/>
      <c r="U141" s="704"/>
      <c r="V141" s="129"/>
      <c r="W141" s="129"/>
      <c r="X141" s="704"/>
      <c r="Y141" s="129"/>
    </row>
    <row r="142" spans="2:25">
      <c r="B142" s="129"/>
      <c r="C142" s="704"/>
      <c r="D142" s="129"/>
      <c r="E142" s="129"/>
      <c r="F142" s="704"/>
      <c r="G142" s="129"/>
      <c r="H142" s="129"/>
      <c r="I142" s="704"/>
      <c r="J142" s="129"/>
      <c r="K142" s="129"/>
      <c r="L142" s="704"/>
      <c r="M142" s="129"/>
      <c r="N142" s="129"/>
      <c r="O142" s="704"/>
      <c r="P142" s="129"/>
      <c r="Q142" s="129"/>
      <c r="R142" s="704"/>
      <c r="S142" s="129"/>
      <c r="T142" s="129"/>
      <c r="U142" s="704"/>
      <c r="V142" s="129"/>
      <c r="W142" s="129"/>
      <c r="X142" s="704"/>
      <c r="Y142" s="129"/>
    </row>
    <row r="143" spans="2:25">
      <c r="B143" s="129"/>
      <c r="C143" s="704"/>
      <c r="D143" s="129"/>
      <c r="E143" s="129"/>
      <c r="F143" s="704"/>
      <c r="G143" s="129"/>
      <c r="H143" s="129"/>
      <c r="I143" s="704"/>
      <c r="J143" s="129"/>
      <c r="K143" s="129"/>
      <c r="L143" s="704"/>
      <c r="M143" s="129"/>
      <c r="N143" s="129"/>
      <c r="O143" s="704"/>
      <c r="P143" s="129"/>
      <c r="Q143" s="129"/>
      <c r="R143" s="704"/>
      <c r="S143" s="129"/>
      <c r="T143" s="129"/>
      <c r="U143" s="704"/>
      <c r="V143" s="129"/>
      <c r="W143" s="129"/>
      <c r="X143" s="704"/>
      <c r="Y143" s="129"/>
    </row>
    <row r="144" spans="2:25">
      <c r="B144" s="129"/>
      <c r="C144" s="704"/>
      <c r="D144" s="129"/>
      <c r="E144" s="129"/>
      <c r="F144" s="704"/>
      <c r="G144" s="129"/>
      <c r="H144" s="129"/>
      <c r="I144" s="704"/>
      <c r="J144" s="129"/>
      <c r="K144" s="129"/>
      <c r="L144" s="704"/>
      <c r="M144" s="129"/>
      <c r="N144" s="129"/>
      <c r="O144" s="704"/>
      <c r="P144" s="129"/>
      <c r="Q144" s="129"/>
      <c r="R144" s="704"/>
      <c r="S144" s="129"/>
      <c r="T144" s="129"/>
      <c r="U144" s="704"/>
      <c r="V144" s="129"/>
      <c r="W144" s="129"/>
      <c r="X144" s="704"/>
      <c r="Y144" s="129"/>
    </row>
    <row r="145" spans="2:25">
      <c r="B145" s="129"/>
      <c r="C145" s="704"/>
      <c r="D145" s="129"/>
      <c r="E145" s="129"/>
      <c r="F145" s="704"/>
      <c r="G145" s="129"/>
      <c r="H145" s="129"/>
      <c r="I145" s="704"/>
      <c r="J145" s="129"/>
      <c r="K145" s="129"/>
      <c r="L145" s="704"/>
      <c r="M145" s="129"/>
      <c r="N145" s="129"/>
      <c r="O145" s="704"/>
      <c r="P145" s="129"/>
      <c r="Q145" s="129"/>
      <c r="R145" s="704"/>
      <c r="S145" s="129"/>
      <c r="T145" s="129"/>
      <c r="U145" s="704"/>
      <c r="V145" s="129"/>
      <c r="W145" s="129"/>
      <c r="X145" s="704"/>
      <c r="Y145" s="129"/>
    </row>
    <row r="146" spans="2:25">
      <c r="B146" s="129"/>
      <c r="C146" s="704"/>
      <c r="D146" s="129"/>
      <c r="E146" s="129"/>
      <c r="F146" s="704"/>
      <c r="G146" s="129"/>
      <c r="H146" s="129"/>
      <c r="I146" s="704"/>
      <c r="J146" s="129"/>
      <c r="K146" s="129"/>
      <c r="L146" s="704"/>
      <c r="M146" s="129"/>
      <c r="N146" s="129"/>
      <c r="O146" s="704"/>
      <c r="P146" s="129"/>
      <c r="Q146" s="129"/>
      <c r="R146" s="704"/>
      <c r="S146" s="129"/>
      <c r="T146" s="129"/>
      <c r="U146" s="704"/>
      <c r="V146" s="129"/>
      <c r="W146" s="129"/>
      <c r="X146" s="704"/>
      <c r="Y146" s="129"/>
    </row>
    <row r="147" spans="2:25">
      <c r="B147" s="129"/>
      <c r="C147" s="704"/>
      <c r="D147" s="129"/>
      <c r="E147" s="129"/>
      <c r="F147" s="704"/>
      <c r="G147" s="129"/>
      <c r="H147" s="129"/>
      <c r="I147" s="704"/>
      <c r="J147" s="129"/>
      <c r="K147" s="129"/>
      <c r="L147" s="704"/>
      <c r="M147" s="129"/>
      <c r="N147" s="129"/>
      <c r="O147" s="704"/>
      <c r="P147" s="129"/>
      <c r="Q147" s="129"/>
      <c r="R147" s="704"/>
      <c r="S147" s="129"/>
      <c r="T147" s="129"/>
      <c r="U147" s="704"/>
      <c r="V147" s="129"/>
      <c r="W147" s="129"/>
      <c r="X147" s="704"/>
      <c r="Y147" s="129"/>
    </row>
    <row r="148" spans="2:25">
      <c r="B148" s="129"/>
      <c r="C148" s="704"/>
      <c r="D148" s="129"/>
      <c r="E148" s="129"/>
      <c r="F148" s="704"/>
      <c r="G148" s="129"/>
      <c r="H148" s="129"/>
      <c r="I148" s="704"/>
      <c r="J148" s="129"/>
      <c r="K148" s="129"/>
      <c r="L148" s="704"/>
      <c r="M148" s="129"/>
      <c r="N148" s="129"/>
      <c r="O148" s="704"/>
      <c r="P148" s="129"/>
      <c r="Q148" s="129"/>
      <c r="R148" s="704"/>
      <c r="S148" s="129"/>
      <c r="T148" s="129"/>
      <c r="U148" s="704"/>
      <c r="V148" s="129"/>
      <c r="W148" s="129"/>
      <c r="X148" s="704"/>
      <c r="Y148" s="129"/>
    </row>
    <row r="149" spans="2:25">
      <c r="B149" s="129"/>
      <c r="C149" s="704"/>
      <c r="D149" s="129"/>
      <c r="E149" s="129"/>
      <c r="F149" s="704"/>
      <c r="G149" s="129"/>
      <c r="H149" s="129"/>
      <c r="I149" s="704"/>
      <c r="J149" s="129"/>
      <c r="K149" s="129"/>
      <c r="L149" s="704"/>
      <c r="M149" s="129"/>
      <c r="N149" s="129"/>
      <c r="O149" s="704"/>
      <c r="P149" s="129"/>
      <c r="Q149" s="129"/>
      <c r="R149" s="704"/>
      <c r="S149" s="129"/>
      <c r="T149" s="129"/>
      <c r="U149" s="704"/>
      <c r="V149" s="129"/>
      <c r="W149" s="129"/>
      <c r="X149" s="704"/>
      <c r="Y149" s="129"/>
    </row>
    <row r="150" spans="2:25">
      <c r="B150" s="129"/>
      <c r="C150" s="704"/>
      <c r="D150" s="129"/>
      <c r="E150" s="129"/>
      <c r="F150" s="704"/>
      <c r="G150" s="129"/>
      <c r="H150" s="129"/>
      <c r="I150" s="704"/>
      <c r="J150" s="129"/>
      <c r="K150" s="129"/>
      <c r="L150" s="704"/>
      <c r="M150" s="129"/>
      <c r="N150" s="129"/>
      <c r="O150" s="704"/>
      <c r="P150" s="129"/>
      <c r="Q150" s="129"/>
      <c r="R150" s="704"/>
      <c r="S150" s="129"/>
      <c r="T150" s="129"/>
      <c r="U150" s="704"/>
      <c r="V150" s="129"/>
      <c r="W150" s="129"/>
      <c r="X150" s="704"/>
      <c r="Y150" s="129"/>
    </row>
    <row r="151" spans="2:25">
      <c r="B151" s="129"/>
      <c r="C151" s="704"/>
      <c r="D151" s="129"/>
      <c r="E151" s="129"/>
      <c r="F151" s="704"/>
      <c r="G151" s="129"/>
      <c r="H151" s="129"/>
      <c r="I151" s="704"/>
      <c r="J151" s="129"/>
      <c r="K151" s="129"/>
      <c r="L151" s="704"/>
      <c r="M151" s="129"/>
      <c r="N151" s="129"/>
      <c r="O151" s="704"/>
      <c r="P151" s="129"/>
      <c r="Q151" s="129"/>
      <c r="R151" s="704"/>
      <c r="S151" s="129"/>
      <c r="T151" s="129"/>
      <c r="U151" s="704"/>
      <c r="V151" s="129"/>
      <c r="W151" s="129"/>
      <c r="X151" s="704"/>
      <c r="Y151" s="129"/>
    </row>
    <row r="152" spans="2:25">
      <c r="B152" s="129"/>
      <c r="C152" s="704"/>
      <c r="D152" s="129"/>
      <c r="E152" s="129"/>
      <c r="F152" s="704"/>
      <c r="G152" s="129"/>
      <c r="H152" s="129"/>
      <c r="I152" s="704"/>
      <c r="J152" s="129"/>
      <c r="K152" s="129"/>
      <c r="L152" s="704"/>
      <c r="M152" s="129"/>
      <c r="N152" s="129"/>
      <c r="O152" s="704"/>
      <c r="P152" s="129"/>
      <c r="Q152" s="129"/>
      <c r="R152" s="704"/>
      <c r="S152" s="129"/>
      <c r="T152" s="129"/>
      <c r="U152" s="704"/>
      <c r="V152" s="129"/>
      <c r="W152" s="129"/>
      <c r="X152" s="704"/>
      <c r="Y152" s="129"/>
    </row>
    <row r="153" spans="2:25">
      <c r="B153" s="129"/>
      <c r="C153" s="704"/>
      <c r="D153" s="129"/>
      <c r="E153" s="129"/>
      <c r="F153" s="704"/>
      <c r="G153" s="129"/>
      <c r="H153" s="129"/>
      <c r="I153" s="704"/>
      <c r="J153" s="129"/>
      <c r="K153" s="129"/>
      <c r="L153" s="704"/>
      <c r="M153" s="129"/>
      <c r="N153" s="129"/>
      <c r="O153" s="704"/>
      <c r="P153" s="129"/>
      <c r="Q153" s="129"/>
      <c r="R153" s="704"/>
      <c r="S153" s="129"/>
      <c r="T153" s="129"/>
      <c r="U153" s="704"/>
      <c r="V153" s="129"/>
      <c r="W153" s="129"/>
      <c r="X153" s="704"/>
      <c r="Y153" s="129"/>
    </row>
    <row r="154" spans="2:25">
      <c r="B154" s="129"/>
      <c r="C154" s="704"/>
      <c r="D154" s="129"/>
      <c r="E154" s="129"/>
      <c r="F154" s="704"/>
      <c r="G154" s="129"/>
      <c r="H154" s="129"/>
      <c r="I154" s="704"/>
      <c r="J154" s="129"/>
      <c r="K154" s="129"/>
      <c r="L154" s="704"/>
      <c r="M154" s="129"/>
      <c r="N154" s="129"/>
      <c r="O154" s="704"/>
      <c r="P154" s="129"/>
      <c r="Q154" s="129"/>
      <c r="R154" s="704"/>
      <c r="S154" s="129"/>
      <c r="T154" s="129"/>
      <c r="U154" s="704"/>
      <c r="V154" s="129"/>
      <c r="W154" s="129"/>
      <c r="X154" s="704"/>
      <c r="Y154" s="129"/>
    </row>
    <row r="155" spans="2:25">
      <c r="B155" s="129"/>
      <c r="C155" s="704"/>
      <c r="D155" s="129"/>
      <c r="E155" s="129"/>
      <c r="F155" s="704"/>
      <c r="G155" s="129"/>
      <c r="H155" s="129"/>
      <c r="I155" s="704"/>
      <c r="J155" s="129"/>
      <c r="K155" s="129"/>
      <c r="L155" s="704"/>
      <c r="M155" s="129"/>
      <c r="N155" s="129"/>
      <c r="O155" s="704"/>
      <c r="P155" s="129"/>
      <c r="Q155" s="129"/>
      <c r="R155" s="704"/>
      <c r="S155" s="129"/>
      <c r="T155" s="129"/>
      <c r="U155" s="704"/>
      <c r="V155" s="129"/>
      <c r="W155" s="129"/>
      <c r="X155" s="704"/>
      <c r="Y155" s="129"/>
    </row>
    <row r="156" spans="2:25">
      <c r="B156" s="129"/>
      <c r="C156" s="704"/>
      <c r="D156" s="129"/>
      <c r="E156" s="129"/>
      <c r="F156" s="704"/>
      <c r="G156" s="129"/>
      <c r="H156" s="129"/>
      <c r="I156" s="704"/>
      <c r="J156" s="129"/>
      <c r="K156" s="129"/>
      <c r="L156" s="704"/>
      <c r="M156" s="129"/>
      <c r="N156" s="129"/>
      <c r="O156" s="704"/>
      <c r="P156" s="129"/>
      <c r="Q156" s="129"/>
      <c r="R156" s="704"/>
      <c r="S156" s="129"/>
      <c r="T156" s="129"/>
      <c r="U156" s="704"/>
      <c r="V156" s="129"/>
      <c r="W156" s="129"/>
      <c r="X156" s="704"/>
      <c r="Y156" s="129"/>
    </row>
    <row r="157" spans="2:25">
      <c r="B157" s="129"/>
      <c r="C157" s="704"/>
      <c r="D157" s="129"/>
      <c r="E157" s="129"/>
      <c r="F157" s="704"/>
      <c r="G157" s="129"/>
      <c r="H157" s="129"/>
      <c r="I157" s="704"/>
      <c r="J157" s="129"/>
      <c r="K157" s="129"/>
      <c r="L157" s="704"/>
      <c r="M157" s="129"/>
      <c r="N157" s="129"/>
      <c r="O157" s="704"/>
      <c r="P157" s="129"/>
      <c r="Q157" s="129"/>
      <c r="R157" s="704"/>
      <c r="S157" s="129"/>
      <c r="T157" s="129"/>
      <c r="U157" s="704"/>
      <c r="V157" s="129"/>
      <c r="W157" s="129"/>
      <c r="X157" s="704"/>
      <c r="Y157" s="129"/>
    </row>
    <row r="158" spans="2:25">
      <c r="B158" s="129"/>
      <c r="C158" s="704"/>
      <c r="D158" s="129"/>
      <c r="E158" s="129"/>
      <c r="F158" s="704"/>
      <c r="G158" s="129"/>
      <c r="H158" s="129"/>
      <c r="I158" s="704"/>
      <c r="J158" s="129"/>
      <c r="K158" s="129"/>
      <c r="L158" s="704"/>
      <c r="M158" s="129"/>
      <c r="N158" s="129"/>
      <c r="O158" s="704"/>
      <c r="P158" s="129"/>
      <c r="Q158" s="129"/>
      <c r="R158" s="704"/>
      <c r="S158" s="129"/>
      <c r="T158" s="129"/>
      <c r="U158" s="704"/>
      <c r="V158" s="129"/>
      <c r="W158" s="129"/>
      <c r="X158" s="704"/>
      <c r="Y158" s="129"/>
    </row>
    <row r="159" spans="2:25">
      <c r="B159" s="129"/>
      <c r="C159" s="704"/>
      <c r="D159" s="129"/>
      <c r="E159" s="129"/>
      <c r="F159" s="704"/>
      <c r="G159" s="129"/>
      <c r="H159" s="129"/>
      <c r="I159" s="704"/>
      <c r="J159" s="129"/>
      <c r="K159" s="129"/>
      <c r="L159" s="704"/>
      <c r="M159" s="129"/>
      <c r="N159" s="129"/>
      <c r="O159" s="704"/>
      <c r="P159" s="129"/>
      <c r="Q159" s="129"/>
      <c r="R159" s="704"/>
      <c r="S159" s="129"/>
      <c r="T159" s="129"/>
      <c r="U159" s="704"/>
      <c r="V159" s="129"/>
      <c r="W159" s="129"/>
      <c r="X159" s="704"/>
      <c r="Y159" s="129"/>
    </row>
    <row r="160" spans="2:25">
      <c r="B160" s="129"/>
      <c r="C160" s="704"/>
      <c r="D160" s="129"/>
      <c r="E160" s="129"/>
      <c r="F160" s="704"/>
      <c r="G160" s="129"/>
      <c r="H160" s="129"/>
      <c r="I160" s="704"/>
      <c r="J160" s="129"/>
      <c r="K160" s="129"/>
      <c r="L160" s="704"/>
      <c r="M160" s="129"/>
      <c r="N160" s="129"/>
      <c r="O160" s="704"/>
      <c r="P160" s="129"/>
      <c r="Q160" s="129"/>
      <c r="R160" s="704"/>
      <c r="S160" s="129"/>
      <c r="T160" s="129"/>
      <c r="U160" s="704"/>
      <c r="V160" s="129"/>
      <c r="W160" s="129"/>
      <c r="X160" s="704"/>
      <c r="Y160" s="129"/>
    </row>
    <row r="161" spans="2:25">
      <c r="B161" s="129"/>
      <c r="C161" s="704"/>
      <c r="D161" s="129"/>
      <c r="E161" s="129"/>
      <c r="F161" s="704"/>
      <c r="G161" s="129"/>
      <c r="H161" s="129"/>
      <c r="I161" s="704"/>
      <c r="J161" s="129"/>
      <c r="K161" s="129"/>
      <c r="L161" s="704"/>
      <c r="M161" s="129"/>
      <c r="N161" s="129"/>
      <c r="O161" s="704"/>
      <c r="P161" s="129"/>
      <c r="Q161" s="129"/>
      <c r="R161" s="704"/>
      <c r="S161" s="129"/>
      <c r="T161" s="129"/>
      <c r="U161" s="704"/>
      <c r="V161" s="129"/>
      <c r="W161" s="129"/>
      <c r="X161" s="704"/>
      <c r="Y161" s="129"/>
    </row>
    <row r="162" spans="2:25">
      <c r="B162" s="129"/>
      <c r="C162" s="704"/>
      <c r="D162" s="129"/>
      <c r="E162" s="129"/>
      <c r="F162" s="704"/>
      <c r="G162" s="129"/>
      <c r="H162" s="129"/>
      <c r="I162" s="704"/>
      <c r="J162" s="129"/>
      <c r="K162" s="129"/>
      <c r="L162" s="704"/>
      <c r="M162" s="129"/>
      <c r="N162" s="129"/>
      <c r="O162" s="704"/>
      <c r="P162" s="129"/>
      <c r="Q162" s="129"/>
      <c r="R162" s="704"/>
      <c r="S162" s="129"/>
      <c r="T162" s="129"/>
      <c r="U162" s="704"/>
      <c r="V162" s="129"/>
      <c r="W162" s="129"/>
      <c r="X162" s="704"/>
      <c r="Y162" s="129"/>
    </row>
    <row r="163" spans="2:25">
      <c r="B163" s="129"/>
      <c r="C163" s="704"/>
      <c r="D163" s="129"/>
      <c r="E163" s="129"/>
      <c r="F163" s="704"/>
      <c r="G163" s="129"/>
      <c r="H163" s="129"/>
      <c r="I163" s="704"/>
      <c r="J163" s="129"/>
      <c r="K163" s="129"/>
      <c r="L163" s="704"/>
      <c r="M163" s="129"/>
      <c r="N163" s="129"/>
      <c r="O163" s="704"/>
      <c r="P163" s="129"/>
      <c r="Q163" s="129"/>
      <c r="R163" s="704"/>
      <c r="S163" s="129"/>
      <c r="T163" s="129"/>
      <c r="U163" s="704"/>
      <c r="V163" s="129"/>
      <c r="W163" s="129"/>
      <c r="X163" s="704"/>
      <c r="Y163" s="129"/>
    </row>
    <row r="164" spans="2:25">
      <c r="B164" s="129"/>
      <c r="C164" s="704"/>
      <c r="D164" s="129"/>
      <c r="E164" s="129"/>
      <c r="F164" s="704"/>
      <c r="G164" s="129"/>
      <c r="H164" s="129"/>
      <c r="I164" s="704"/>
      <c r="J164" s="129"/>
      <c r="K164" s="129"/>
      <c r="L164" s="704"/>
      <c r="M164" s="129"/>
      <c r="N164" s="129"/>
      <c r="O164" s="704"/>
      <c r="P164" s="129"/>
      <c r="Q164" s="129"/>
      <c r="R164" s="704"/>
      <c r="S164" s="129"/>
      <c r="T164" s="129"/>
      <c r="U164" s="704"/>
      <c r="V164" s="129"/>
      <c r="W164" s="129"/>
      <c r="X164" s="704"/>
      <c r="Y164" s="129"/>
    </row>
    <row r="165" spans="2:25">
      <c r="B165" s="129"/>
      <c r="C165" s="704"/>
      <c r="D165" s="129"/>
      <c r="E165" s="129"/>
      <c r="F165" s="704"/>
      <c r="G165" s="129"/>
      <c r="H165" s="129"/>
      <c r="I165" s="704"/>
      <c r="J165" s="129"/>
      <c r="K165" s="129"/>
      <c r="L165" s="704"/>
      <c r="M165" s="129"/>
      <c r="N165" s="129"/>
      <c r="O165" s="704"/>
      <c r="P165" s="129"/>
      <c r="Q165" s="129"/>
      <c r="R165" s="704"/>
      <c r="S165" s="129"/>
      <c r="T165" s="129"/>
      <c r="U165" s="704"/>
      <c r="V165" s="129"/>
      <c r="W165" s="129"/>
      <c r="X165" s="704"/>
      <c r="Y165" s="129"/>
    </row>
    <row r="166" spans="2:25">
      <c r="B166" s="129"/>
      <c r="C166" s="704"/>
      <c r="D166" s="129"/>
      <c r="E166" s="129"/>
      <c r="F166" s="704"/>
      <c r="G166" s="129"/>
      <c r="H166" s="129"/>
      <c r="I166" s="704"/>
      <c r="J166" s="129"/>
      <c r="K166" s="129"/>
      <c r="L166" s="704"/>
      <c r="M166" s="129"/>
      <c r="N166" s="129"/>
      <c r="O166" s="704"/>
      <c r="P166" s="129"/>
      <c r="Q166" s="129"/>
      <c r="R166" s="704"/>
      <c r="S166" s="129"/>
      <c r="T166" s="129"/>
      <c r="U166" s="704"/>
      <c r="V166" s="129"/>
      <c r="W166" s="129"/>
      <c r="X166" s="704"/>
      <c r="Y166" s="129"/>
    </row>
    <row r="167" spans="2:25">
      <c r="B167" s="129"/>
      <c r="C167" s="704"/>
      <c r="D167" s="129"/>
      <c r="E167" s="129"/>
      <c r="F167" s="704"/>
      <c r="G167" s="129"/>
      <c r="H167" s="129"/>
      <c r="I167" s="704"/>
      <c r="J167" s="129"/>
      <c r="K167" s="129"/>
      <c r="L167" s="704"/>
      <c r="M167" s="129"/>
      <c r="N167" s="129"/>
      <c r="O167" s="704"/>
      <c r="P167" s="129"/>
      <c r="Q167" s="129"/>
      <c r="R167" s="704"/>
      <c r="S167" s="129"/>
      <c r="T167" s="129"/>
      <c r="U167" s="704"/>
      <c r="V167" s="129"/>
      <c r="W167" s="129"/>
      <c r="X167" s="704"/>
      <c r="Y167" s="129"/>
    </row>
    <row r="168" spans="2:25">
      <c r="B168" s="129"/>
      <c r="C168" s="704"/>
      <c r="D168" s="129"/>
      <c r="E168" s="129"/>
      <c r="F168" s="704"/>
      <c r="G168" s="129"/>
      <c r="H168" s="129"/>
      <c r="I168" s="704"/>
      <c r="J168" s="129"/>
      <c r="K168" s="129"/>
      <c r="L168" s="704"/>
      <c r="M168" s="129"/>
      <c r="N168" s="129"/>
      <c r="O168" s="704"/>
      <c r="P168" s="129"/>
      <c r="Q168" s="129"/>
      <c r="R168" s="704"/>
      <c r="S168" s="129"/>
      <c r="T168" s="129"/>
      <c r="U168" s="704"/>
      <c r="V168" s="129"/>
      <c r="W168" s="129"/>
      <c r="X168" s="704"/>
      <c r="Y168" s="129"/>
    </row>
    <row r="169" spans="2:25">
      <c r="B169" s="129"/>
      <c r="C169" s="704"/>
      <c r="D169" s="129"/>
      <c r="E169" s="129"/>
      <c r="F169" s="704"/>
      <c r="G169" s="129"/>
      <c r="H169" s="129"/>
      <c r="I169" s="704"/>
      <c r="J169" s="129"/>
      <c r="K169" s="129"/>
      <c r="L169" s="704"/>
      <c r="M169" s="129"/>
      <c r="N169" s="129"/>
      <c r="O169" s="704"/>
      <c r="P169" s="129"/>
      <c r="Q169" s="129"/>
      <c r="R169" s="704"/>
      <c r="S169" s="129"/>
      <c r="T169" s="129"/>
      <c r="U169" s="704"/>
      <c r="V169" s="129"/>
      <c r="W169" s="129"/>
      <c r="X169" s="704"/>
      <c r="Y169" s="129"/>
    </row>
    <row r="170" spans="2:25">
      <c r="B170" s="129"/>
      <c r="C170" s="704"/>
      <c r="D170" s="129"/>
      <c r="E170" s="129"/>
      <c r="F170" s="704"/>
      <c r="G170" s="129"/>
      <c r="H170" s="129"/>
      <c r="I170" s="704"/>
      <c r="J170" s="129"/>
      <c r="K170" s="129"/>
      <c r="L170" s="704"/>
      <c r="M170" s="129"/>
      <c r="N170" s="129"/>
      <c r="O170" s="704"/>
      <c r="P170" s="129"/>
      <c r="Q170" s="129"/>
      <c r="R170" s="704"/>
      <c r="S170" s="129"/>
      <c r="T170" s="129"/>
      <c r="U170" s="704"/>
      <c r="V170" s="129"/>
      <c r="W170" s="129"/>
      <c r="X170" s="704"/>
      <c r="Y170" s="129"/>
    </row>
    <row r="171" spans="2:25">
      <c r="C171" s="690"/>
    </row>
    <row r="172" spans="2:25">
      <c r="C172" s="690"/>
    </row>
    <row r="173" spans="2:25">
      <c r="C173" s="690"/>
    </row>
    <row r="174" spans="2:25">
      <c r="C174" s="690"/>
    </row>
    <row r="175" spans="2:25">
      <c r="C175" s="690"/>
    </row>
    <row r="176" spans="2:25">
      <c r="C176" s="690"/>
    </row>
    <row r="177" spans="3:3">
      <c r="C177" s="690"/>
    </row>
    <row r="178" spans="3:3">
      <c r="C178" s="690"/>
    </row>
    <row r="179" spans="3:3">
      <c r="C179" s="690"/>
    </row>
    <row r="180" spans="3:3">
      <c r="C180" s="690"/>
    </row>
    <row r="184" spans="3:3">
      <c r="C184" s="690"/>
    </row>
    <row r="185" spans="3:3">
      <c r="C185" s="690"/>
    </row>
    <row r="186" spans="3:3">
      <c r="C186" s="690"/>
    </row>
    <row r="187" spans="3:3">
      <c r="C187" s="690"/>
    </row>
    <row r="188" spans="3:3">
      <c r="C188" s="690"/>
    </row>
    <row r="189" spans="3:3">
      <c r="C189" s="690"/>
    </row>
    <row r="190" spans="3:3">
      <c r="C190" s="690"/>
    </row>
    <row r="191" spans="3:3">
      <c r="C191" s="690"/>
    </row>
    <row r="192" spans="3:3">
      <c r="C192" s="706"/>
    </row>
    <row r="193" spans="3:3">
      <c r="C193" s="690"/>
    </row>
    <row r="194" spans="3:3">
      <c r="C194" s="690"/>
    </row>
    <row r="195" spans="3:3">
      <c r="C195" s="690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2060"/>
  </sheetPr>
  <dimension ref="A1:J74"/>
  <sheetViews>
    <sheetView workbookViewId="0">
      <selection activeCell="P6" sqref="P6"/>
    </sheetView>
  </sheetViews>
  <sheetFormatPr defaultColWidth="12.42578125" defaultRowHeight="15.75"/>
  <cols>
    <col min="1" max="1" width="46.140625" style="207" bestFit="1" customWidth="1"/>
    <col min="2" max="16384" width="12.42578125" style="207"/>
  </cols>
  <sheetData>
    <row r="1" spans="1:10" s="359" customFormat="1">
      <c r="A1" s="355" t="s">
        <v>125</v>
      </c>
      <c r="B1" s="356">
        <v>2010</v>
      </c>
      <c r="C1" s="357">
        <v>2015</v>
      </c>
      <c r="D1" s="357">
        <v>2020</v>
      </c>
      <c r="E1" s="357">
        <v>2025</v>
      </c>
      <c r="F1" s="357">
        <v>2030</v>
      </c>
      <c r="G1" s="357">
        <v>2035</v>
      </c>
      <c r="H1" s="357">
        <v>2040</v>
      </c>
      <c r="I1" s="357">
        <v>2045</v>
      </c>
      <c r="J1" s="358">
        <v>2050</v>
      </c>
    </row>
    <row r="2" spans="1:10">
      <c r="A2" s="360" t="s">
        <v>183</v>
      </c>
      <c r="B2" s="361">
        <v>460833.33333333337</v>
      </c>
      <c r="C2" s="362">
        <v>565066.66666666674</v>
      </c>
      <c r="D2" s="362">
        <v>638066.66666666674</v>
      </c>
      <c r="E2" s="363">
        <v>686066.66666666674</v>
      </c>
      <c r="F2" s="362">
        <v>723066.66666666674</v>
      </c>
      <c r="G2" s="361">
        <v>752066.66666666674</v>
      </c>
      <c r="H2" s="362">
        <v>775466.66666666674</v>
      </c>
      <c r="I2" s="362">
        <v>790966.66666666674</v>
      </c>
      <c r="J2" s="364">
        <v>805966.66666666674</v>
      </c>
    </row>
    <row r="3" spans="1:10">
      <c r="A3" s="360" t="s">
        <v>184</v>
      </c>
      <c r="B3" s="361">
        <v>8333.3333333333339</v>
      </c>
      <c r="C3" s="362">
        <v>19600</v>
      </c>
      <c r="D3" s="362">
        <v>21100</v>
      </c>
      <c r="E3" s="363">
        <v>23600</v>
      </c>
      <c r="F3" s="362">
        <v>25100</v>
      </c>
      <c r="G3" s="361">
        <v>27100</v>
      </c>
      <c r="H3" s="362">
        <v>28000</v>
      </c>
      <c r="I3" s="362">
        <v>28000</v>
      </c>
      <c r="J3" s="364">
        <v>28000</v>
      </c>
    </row>
    <row r="4" spans="1:10">
      <c r="A4" s="360" t="s">
        <v>185</v>
      </c>
      <c r="B4" s="361">
        <v>15833.333333333334</v>
      </c>
      <c r="C4" s="362">
        <v>26000</v>
      </c>
      <c r="D4" s="362">
        <v>21000</v>
      </c>
      <c r="E4" s="363">
        <v>18500</v>
      </c>
      <c r="F4" s="362">
        <v>16000</v>
      </c>
      <c r="G4" s="361">
        <v>13500</v>
      </c>
      <c r="H4" s="362">
        <v>11000</v>
      </c>
      <c r="I4" s="362">
        <v>10000</v>
      </c>
      <c r="J4" s="364">
        <v>10000</v>
      </c>
    </row>
    <row r="5" spans="1:10">
      <c r="A5" s="360" t="s">
        <v>186</v>
      </c>
      <c r="B5" s="361">
        <v>24166.666666666668</v>
      </c>
      <c r="C5" s="362">
        <v>45600</v>
      </c>
      <c r="D5" s="362">
        <v>42100</v>
      </c>
      <c r="E5" s="363">
        <v>42100</v>
      </c>
      <c r="F5" s="362">
        <v>41100</v>
      </c>
      <c r="G5" s="361">
        <v>40600</v>
      </c>
      <c r="H5" s="362">
        <v>39000</v>
      </c>
      <c r="I5" s="362">
        <v>38000</v>
      </c>
      <c r="J5" s="364">
        <v>38000</v>
      </c>
    </row>
    <row r="6" spans="1:10">
      <c r="A6" s="360" t="s">
        <v>187</v>
      </c>
      <c r="B6" s="361">
        <v>11666.666666666668</v>
      </c>
      <c r="C6" s="362">
        <v>26000</v>
      </c>
      <c r="D6" s="362">
        <v>31000</v>
      </c>
      <c r="E6" s="363">
        <v>33500</v>
      </c>
      <c r="F6" s="362">
        <v>35000</v>
      </c>
      <c r="G6" s="361">
        <v>35000</v>
      </c>
      <c r="H6" s="362">
        <v>35000</v>
      </c>
      <c r="I6" s="362">
        <v>35000</v>
      </c>
      <c r="J6" s="364">
        <v>35000</v>
      </c>
    </row>
    <row r="7" spans="1:10">
      <c r="A7" s="360" t="s">
        <v>188</v>
      </c>
      <c r="B7" s="361">
        <v>1116784.1666666667</v>
      </c>
      <c r="C7" s="362">
        <v>1335196</v>
      </c>
      <c r="D7" s="362">
        <v>1323909</v>
      </c>
      <c r="E7" s="363">
        <v>1303556</v>
      </c>
      <c r="F7" s="362">
        <v>1279865</v>
      </c>
      <c r="G7" s="361">
        <v>1258685</v>
      </c>
      <c r="H7" s="362">
        <v>1243008</v>
      </c>
      <c r="I7" s="362">
        <v>1228717</v>
      </c>
      <c r="J7" s="364">
        <v>1213261</v>
      </c>
    </row>
    <row r="8" spans="1:10" ht="16.5" thickBot="1">
      <c r="A8" s="365" t="s">
        <v>189</v>
      </c>
      <c r="B8" s="366">
        <v>343.86928937576971</v>
      </c>
      <c r="C8" s="367">
        <v>423.20877733805878</v>
      </c>
      <c r="D8" s="367">
        <v>481.95658966489896</v>
      </c>
      <c r="E8" s="368">
        <v>526.30394602661238</v>
      </c>
      <c r="F8" s="367">
        <v>564.95541847512561</v>
      </c>
      <c r="G8" s="366">
        <v>597.50189020022231</v>
      </c>
      <c r="H8" s="367">
        <v>623.86297326056376</v>
      </c>
      <c r="I8" s="367">
        <v>643.73380254905464</v>
      </c>
      <c r="J8" s="369">
        <v>664.29784412971878</v>
      </c>
    </row>
    <row r="9" spans="1:10">
      <c r="A9" s="370" t="s">
        <v>156</v>
      </c>
      <c r="B9" s="356">
        <v>2010</v>
      </c>
      <c r="C9" s="357">
        <v>2015</v>
      </c>
      <c r="D9" s="357">
        <v>2020</v>
      </c>
      <c r="E9" s="357">
        <v>2025</v>
      </c>
      <c r="F9" s="357">
        <v>2030</v>
      </c>
      <c r="G9" s="357">
        <v>2035</v>
      </c>
      <c r="H9" s="357">
        <v>2040</v>
      </c>
      <c r="I9" s="357">
        <v>2045</v>
      </c>
      <c r="J9" s="358">
        <v>2050</v>
      </c>
    </row>
    <row r="10" spans="1:10">
      <c r="A10" s="360" t="s">
        <v>183</v>
      </c>
      <c r="B10" s="362">
        <v>460833.33333333337</v>
      </c>
      <c r="C10" s="362">
        <v>564066.66666666674</v>
      </c>
      <c r="D10" s="362">
        <v>619566.66666666674</v>
      </c>
      <c r="E10" s="362">
        <v>657866.66666666674</v>
      </c>
      <c r="F10" s="362">
        <v>701166.66666666674</v>
      </c>
      <c r="G10" s="362">
        <v>733766.66666666674</v>
      </c>
      <c r="H10" s="362">
        <v>757166.66666666674</v>
      </c>
      <c r="I10" s="362">
        <v>773166.66666666674</v>
      </c>
      <c r="J10" s="364">
        <v>796666.66666666674</v>
      </c>
    </row>
    <row r="11" spans="1:10">
      <c r="A11" s="360" t="s">
        <v>184</v>
      </c>
      <c r="B11" s="362">
        <v>8333.3333333333339</v>
      </c>
      <c r="C11" s="362">
        <v>19400</v>
      </c>
      <c r="D11" s="362">
        <v>20900</v>
      </c>
      <c r="E11" s="362">
        <v>23400</v>
      </c>
      <c r="F11" s="362">
        <v>24900</v>
      </c>
      <c r="G11" s="362">
        <v>26900</v>
      </c>
      <c r="H11" s="362">
        <v>27800</v>
      </c>
      <c r="I11" s="362">
        <v>27800</v>
      </c>
      <c r="J11" s="364">
        <v>27800</v>
      </c>
    </row>
    <row r="12" spans="1:10">
      <c r="A12" s="360" t="s">
        <v>185</v>
      </c>
      <c r="B12" s="362">
        <v>15833.333333333334</v>
      </c>
      <c r="C12" s="362">
        <v>25900</v>
      </c>
      <c r="D12" s="362">
        <v>20900</v>
      </c>
      <c r="E12" s="362">
        <v>18400</v>
      </c>
      <c r="F12" s="362">
        <v>15900</v>
      </c>
      <c r="G12" s="362">
        <v>13400</v>
      </c>
      <c r="H12" s="362">
        <v>10900</v>
      </c>
      <c r="I12" s="362">
        <v>9900</v>
      </c>
      <c r="J12" s="364">
        <v>9900</v>
      </c>
    </row>
    <row r="13" spans="1:10" ht="16.5" thickBot="1">
      <c r="A13" s="365" t="s">
        <v>189</v>
      </c>
      <c r="B13" s="366">
        <v>343.86928937576971</v>
      </c>
      <c r="C13" s="367">
        <v>422.45982362639398</v>
      </c>
      <c r="D13" s="367">
        <v>467.98281956438603</v>
      </c>
      <c r="E13" s="367">
        <v>504.67081327282204</v>
      </c>
      <c r="F13" s="367">
        <v>547.84423878039229</v>
      </c>
      <c r="G13" s="366">
        <v>582.96290705511444</v>
      </c>
      <c r="H13" s="367">
        <v>609.14062231833316</v>
      </c>
      <c r="I13" s="367">
        <v>629.2471469562696</v>
      </c>
      <c r="J13" s="369">
        <v>656.63255199554487</v>
      </c>
    </row>
    <row r="14" spans="1:10">
      <c r="A14" s="370" t="s">
        <v>166</v>
      </c>
      <c r="B14" s="356">
        <v>2010</v>
      </c>
      <c r="C14" s="357">
        <v>2015</v>
      </c>
      <c r="D14" s="357">
        <v>2020</v>
      </c>
      <c r="E14" s="357">
        <v>2025</v>
      </c>
      <c r="F14" s="357">
        <v>2030</v>
      </c>
      <c r="G14" s="357">
        <v>2035</v>
      </c>
      <c r="H14" s="357">
        <v>2040</v>
      </c>
      <c r="I14" s="357">
        <v>2045</v>
      </c>
      <c r="J14" s="358">
        <v>2050</v>
      </c>
    </row>
    <row r="15" spans="1:10">
      <c r="A15" s="360" t="s">
        <v>183</v>
      </c>
      <c r="B15" s="371">
        <v>460833.33333333337</v>
      </c>
      <c r="C15" s="371">
        <v>563766.66666666674</v>
      </c>
      <c r="D15" s="371">
        <v>598166.66666666674</v>
      </c>
      <c r="E15" s="371">
        <v>577666.66666666674</v>
      </c>
      <c r="F15" s="371">
        <v>567666.66666666674</v>
      </c>
      <c r="G15" s="371">
        <v>567166.66666666674</v>
      </c>
      <c r="H15" s="371">
        <v>567166.66666666674</v>
      </c>
      <c r="I15" s="371">
        <v>567166.66666666674</v>
      </c>
      <c r="J15" s="372">
        <v>567166.66666666674</v>
      </c>
    </row>
    <row r="16" spans="1:10">
      <c r="A16" s="360" t="s">
        <v>184</v>
      </c>
      <c r="B16" s="371">
        <v>8333.3333333333339</v>
      </c>
      <c r="C16" s="373">
        <v>19400</v>
      </c>
      <c r="D16" s="373">
        <v>23000</v>
      </c>
      <c r="E16" s="373">
        <v>25000</v>
      </c>
      <c r="F16" s="373">
        <v>25000</v>
      </c>
      <c r="G16" s="373">
        <v>25000</v>
      </c>
      <c r="H16" s="373">
        <v>25000</v>
      </c>
      <c r="I16" s="373">
        <v>25000</v>
      </c>
      <c r="J16" s="374">
        <v>25000</v>
      </c>
    </row>
    <row r="17" spans="1:10">
      <c r="A17" s="360" t="s">
        <v>185</v>
      </c>
      <c r="B17" s="371">
        <v>15833.333333333334</v>
      </c>
      <c r="C17" s="373">
        <v>25900</v>
      </c>
      <c r="D17" s="373">
        <v>17000</v>
      </c>
      <c r="E17" s="373">
        <v>12000</v>
      </c>
      <c r="F17" s="373">
        <v>7000</v>
      </c>
      <c r="G17" s="373">
        <v>5000</v>
      </c>
      <c r="H17" s="373">
        <v>5000</v>
      </c>
      <c r="I17" s="373">
        <v>5000</v>
      </c>
      <c r="J17" s="374">
        <v>5000</v>
      </c>
    </row>
    <row r="18" spans="1:10" ht="16.5" thickBot="1">
      <c r="A18" s="365" t="s">
        <v>189</v>
      </c>
      <c r="B18" s="375">
        <v>343.86928937576971</v>
      </c>
      <c r="C18" s="375">
        <v>422.23513751289454</v>
      </c>
      <c r="D18" s="375">
        <v>451.81856658325216</v>
      </c>
      <c r="E18" s="375">
        <v>443.14679742693579</v>
      </c>
      <c r="F18" s="375">
        <v>443.53636255907202</v>
      </c>
      <c r="G18" s="375">
        <v>450.60254683790362</v>
      </c>
      <c r="H18" s="375">
        <v>456.28561253561264</v>
      </c>
      <c r="I18" s="375">
        <v>461.59259346673542</v>
      </c>
      <c r="J18" s="376">
        <v>467.47292352318817</v>
      </c>
    </row>
    <row r="19" spans="1:10">
      <c r="A19" s="377"/>
    </row>
    <row r="20" spans="1:10">
      <c r="A20" s="378" t="s">
        <v>62</v>
      </c>
      <c r="B20" s="232">
        <f>5/13</f>
        <v>0.38461538461538464</v>
      </c>
      <c r="C20" s="232">
        <f t="shared" ref="C20:J20" si="0">5/13</f>
        <v>0.38461538461538464</v>
      </c>
      <c r="D20" s="232">
        <f t="shared" si="0"/>
        <v>0.38461538461538464</v>
      </c>
      <c r="E20" s="232">
        <f t="shared" si="0"/>
        <v>0.38461538461538464</v>
      </c>
      <c r="F20" s="232">
        <f t="shared" si="0"/>
        <v>0.38461538461538464</v>
      </c>
      <c r="G20" s="232">
        <f t="shared" si="0"/>
        <v>0.38461538461538464</v>
      </c>
      <c r="H20" s="232">
        <f t="shared" si="0"/>
        <v>0.38461538461538464</v>
      </c>
      <c r="I20" s="232">
        <f t="shared" si="0"/>
        <v>0.38461538461538464</v>
      </c>
      <c r="J20" s="232">
        <f t="shared" si="0"/>
        <v>0.38461538461538464</v>
      </c>
    </row>
    <row r="21" spans="1:10">
      <c r="A21" s="378" t="s">
        <v>142</v>
      </c>
      <c r="B21" s="232">
        <f>8/13</f>
        <v>0.61538461538461542</v>
      </c>
      <c r="C21" s="232">
        <f t="shared" ref="C21:J21" si="1">8/13</f>
        <v>0.61538461538461542</v>
      </c>
      <c r="D21" s="232">
        <f t="shared" si="1"/>
        <v>0.61538461538461542</v>
      </c>
      <c r="E21" s="232">
        <f t="shared" si="1"/>
        <v>0.61538461538461542</v>
      </c>
      <c r="F21" s="232">
        <f t="shared" si="1"/>
        <v>0.61538461538461542</v>
      </c>
      <c r="G21" s="232">
        <f t="shared" si="1"/>
        <v>0.61538461538461542</v>
      </c>
      <c r="H21" s="232">
        <f t="shared" si="1"/>
        <v>0.61538461538461542</v>
      </c>
      <c r="I21" s="232">
        <f t="shared" si="1"/>
        <v>0.61538461538461542</v>
      </c>
      <c r="J21" s="232">
        <f t="shared" si="1"/>
        <v>0.61538461538461542</v>
      </c>
    </row>
    <row r="22" spans="1:10">
      <c r="A22" s="378" t="s">
        <v>63</v>
      </c>
      <c r="B22" s="232">
        <f>9/12</f>
        <v>0.75</v>
      </c>
      <c r="C22" s="232">
        <f t="shared" ref="C22:J22" si="2">9/12</f>
        <v>0.75</v>
      </c>
      <c r="D22" s="232">
        <f t="shared" si="2"/>
        <v>0.75</v>
      </c>
      <c r="E22" s="232">
        <f t="shared" si="2"/>
        <v>0.75</v>
      </c>
      <c r="F22" s="232">
        <f t="shared" si="2"/>
        <v>0.75</v>
      </c>
      <c r="G22" s="232">
        <f t="shared" si="2"/>
        <v>0.75</v>
      </c>
      <c r="H22" s="232">
        <f t="shared" si="2"/>
        <v>0.75</v>
      </c>
      <c r="I22" s="232">
        <f t="shared" si="2"/>
        <v>0.75</v>
      </c>
      <c r="J22" s="232">
        <f t="shared" si="2"/>
        <v>0.75</v>
      </c>
    </row>
    <row r="23" spans="1:10">
      <c r="A23" s="378" t="s">
        <v>143</v>
      </c>
      <c r="B23" s="232">
        <f>3/12</f>
        <v>0.25</v>
      </c>
      <c r="C23" s="232">
        <f t="shared" ref="C23:J23" si="3">3/12</f>
        <v>0.25</v>
      </c>
      <c r="D23" s="232">
        <f t="shared" si="3"/>
        <v>0.25</v>
      </c>
      <c r="E23" s="232">
        <f t="shared" si="3"/>
        <v>0.25</v>
      </c>
      <c r="F23" s="232">
        <f t="shared" si="3"/>
        <v>0.25</v>
      </c>
      <c r="G23" s="232">
        <f t="shared" si="3"/>
        <v>0.25</v>
      </c>
      <c r="H23" s="232">
        <f t="shared" si="3"/>
        <v>0.25</v>
      </c>
      <c r="I23" s="232">
        <f t="shared" si="3"/>
        <v>0.25</v>
      </c>
      <c r="J23" s="232">
        <f t="shared" si="3"/>
        <v>0.25</v>
      </c>
    </row>
    <row r="25" spans="1:10">
      <c r="A25" s="379" t="s">
        <v>190</v>
      </c>
      <c r="B25" s="207">
        <v>18000</v>
      </c>
      <c r="C25" s="207">
        <v>18000</v>
      </c>
      <c r="D25" s="207">
        <v>18000</v>
      </c>
      <c r="E25" s="207">
        <v>18000</v>
      </c>
      <c r="F25" s="207">
        <v>18000</v>
      </c>
      <c r="G25" s="207">
        <v>18000</v>
      </c>
      <c r="H25" s="207">
        <v>18000</v>
      </c>
      <c r="I25" s="207">
        <v>18000</v>
      </c>
      <c r="J25" s="207">
        <v>18000</v>
      </c>
    </row>
    <row r="26" spans="1:10">
      <c r="A26" s="379" t="s">
        <v>191</v>
      </c>
      <c r="B26" s="207">
        <f>B25*1.25</f>
        <v>22500</v>
      </c>
      <c r="C26" s="207">
        <f t="shared" ref="C26:J26" si="4">C25*1.25</f>
        <v>22500</v>
      </c>
      <c r="D26" s="207">
        <f t="shared" si="4"/>
        <v>22500</v>
      </c>
      <c r="E26" s="207">
        <f t="shared" si="4"/>
        <v>22500</v>
      </c>
      <c r="F26" s="207">
        <f t="shared" si="4"/>
        <v>22500</v>
      </c>
      <c r="G26" s="207">
        <f t="shared" si="4"/>
        <v>22500</v>
      </c>
      <c r="H26" s="207">
        <f t="shared" si="4"/>
        <v>22500</v>
      </c>
      <c r="I26" s="207">
        <f t="shared" si="4"/>
        <v>22500</v>
      </c>
      <c r="J26" s="207">
        <f t="shared" si="4"/>
        <v>22500</v>
      </c>
    </row>
    <row r="27" spans="1:10">
      <c r="A27" s="379" t="s">
        <v>192</v>
      </c>
      <c r="B27" s="207">
        <v>9000</v>
      </c>
      <c r="C27" s="207">
        <v>9000</v>
      </c>
      <c r="D27" s="207">
        <v>9000</v>
      </c>
      <c r="E27" s="207">
        <v>9000</v>
      </c>
      <c r="F27" s="207">
        <v>9000</v>
      </c>
      <c r="G27" s="207">
        <v>9000</v>
      </c>
      <c r="H27" s="207">
        <v>9000</v>
      </c>
      <c r="I27" s="207">
        <v>9000</v>
      </c>
      <c r="J27" s="207">
        <v>9000</v>
      </c>
    </row>
    <row r="28" spans="1:10">
      <c r="A28" s="379" t="s">
        <v>193</v>
      </c>
      <c r="B28" s="207">
        <f>B27*1.25</f>
        <v>11250</v>
      </c>
      <c r="C28" s="207">
        <f t="shared" ref="C28:J28" si="5">C27*1.25</f>
        <v>11250</v>
      </c>
      <c r="D28" s="207">
        <f t="shared" si="5"/>
        <v>11250</v>
      </c>
      <c r="E28" s="207">
        <f t="shared" si="5"/>
        <v>11250</v>
      </c>
      <c r="F28" s="207">
        <f t="shared" si="5"/>
        <v>11250</v>
      </c>
      <c r="G28" s="207">
        <f t="shared" si="5"/>
        <v>11250</v>
      </c>
      <c r="H28" s="207">
        <f t="shared" si="5"/>
        <v>11250</v>
      </c>
      <c r="I28" s="207">
        <f t="shared" si="5"/>
        <v>11250</v>
      </c>
      <c r="J28" s="207">
        <f t="shared" si="5"/>
        <v>11250</v>
      </c>
    </row>
    <row r="29" spans="1:10" ht="16.5" thickBot="1">
      <c r="A29" s="379"/>
    </row>
    <row r="30" spans="1:10">
      <c r="A30" s="380" t="s">
        <v>125</v>
      </c>
      <c r="B30" s="381">
        <v>2010</v>
      </c>
      <c r="C30" s="381">
        <v>2015</v>
      </c>
      <c r="D30" s="381">
        <v>2020</v>
      </c>
      <c r="E30" s="381">
        <v>2025</v>
      </c>
      <c r="F30" s="381">
        <v>2030</v>
      </c>
      <c r="G30" s="381">
        <v>2035</v>
      </c>
      <c r="H30" s="381">
        <v>2040</v>
      </c>
      <c r="I30" s="381">
        <v>2045</v>
      </c>
      <c r="J30" s="382">
        <v>2050</v>
      </c>
    </row>
    <row r="31" spans="1:10">
      <c r="A31" s="383" t="s">
        <v>62</v>
      </c>
      <c r="B31" s="371">
        <f>B$3*B20*B25</f>
        <v>57692307.692307703</v>
      </c>
      <c r="C31" s="371">
        <f t="shared" ref="C31:J32" si="6">C$3*C20*C25</f>
        <v>135692307.69230771</v>
      </c>
      <c r="D31" s="371">
        <f t="shared" si="6"/>
        <v>146076923.0769231</v>
      </c>
      <c r="E31" s="371">
        <f t="shared" si="6"/>
        <v>163384615.38461539</v>
      </c>
      <c r="F31" s="371">
        <f t="shared" si="6"/>
        <v>173769230.76923078</v>
      </c>
      <c r="G31" s="371">
        <f t="shared" si="6"/>
        <v>187615384.61538464</v>
      </c>
      <c r="H31" s="371">
        <f t="shared" si="6"/>
        <v>193846153.84615386</v>
      </c>
      <c r="I31" s="371">
        <f t="shared" si="6"/>
        <v>193846153.84615386</v>
      </c>
      <c r="J31" s="372">
        <f t="shared" si="6"/>
        <v>193846153.84615386</v>
      </c>
    </row>
    <row r="32" spans="1:10">
      <c r="A32" s="383" t="s">
        <v>142</v>
      </c>
      <c r="B32" s="371">
        <f>B$3*B21*B26</f>
        <v>115384615.38461541</v>
      </c>
      <c r="C32" s="371">
        <f t="shared" si="6"/>
        <v>271384615.38461542</v>
      </c>
      <c r="D32" s="371">
        <f t="shared" si="6"/>
        <v>292153846.15384614</v>
      </c>
      <c r="E32" s="371">
        <f t="shared" si="6"/>
        <v>326769230.76923078</v>
      </c>
      <c r="F32" s="371">
        <f t="shared" si="6"/>
        <v>347538461.53846157</v>
      </c>
      <c r="G32" s="371">
        <f t="shared" si="6"/>
        <v>375230769.23076928</v>
      </c>
      <c r="H32" s="371">
        <f t="shared" si="6"/>
        <v>387692307.69230771</v>
      </c>
      <c r="I32" s="371">
        <f t="shared" si="6"/>
        <v>387692307.69230771</v>
      </c>
      <c r="J32" s="372">
        <f t="shared" si="6"/>
        <v>387692307.69230771</v>
      </c>
    </row>
    <row r="33" spans="1:10">
      <c r="A33" s="383" t="s">
        <v>63</v>
      </c>
      <c r="B33" s="371">
        <f>B$4*B22*B27</f>
        <v>106875000</v>
      </c>
      <c r="C33" s="371">
        <f t="shared" ref="C33:J34" si="7">C$4*C22*C27</f>
        <v>175500000</v>
      </c>
      <c r="D33" s="371">
        <f t="shared" si="7"/>
        <v>141750000</v>
      </c>
      <c r="E33" s="371">
        <f t="shared" si="7"/>
        <v>124875000</v>
      </c>
      <c r="F33" s="371">
        <f t="shared" si="7"/>
        <v>108000000</v>
      </c>
      <c r="G33" s="371">
        <f t="shared" si="7"/>
        <v>91125000</v>
      </c>
      <c r="H33" s="371">
        <f t="shared" si="7"/>
        <v>74250000</v>
      </c>
      <c r="I33" s="371">
        <f t="shared" si="7"/>
        <v>67500000</v>
      </c>
      <c r="J33" s="372">
        <f t="shared" si="7"/>
        <v>67500000</v>
      </c>
    </row>
    <row r="34" spans="1:10" ht="16.5" thickBot="1">
      <c r="A34" s="384" t="s">
        <v>143</v>
      </c>
      <c r="B34" s="375">
        <f>B$4*B23*B28</f>
        <v>44531250</v>
      </c>
      <c r="C34" s="375">
        <f t="shared" si="7"/>
        <v>73125000</v>
      </c>
      <c r="D34" s="375">
        <f t="shared" si="7"/>
        <v>59062500</v>
      </c>
      <c r="E34" s="375">
        <f t="shared" si="7"/>
        <v>52031250</v>
      </c>
      <c r="F34" s="375">
        <f t="shared" si="7"/>
        <v>45000000</v>
      </c>
      <c r="G34" s="375">
        <f t="shared" si="7"/>
        <v>37968750</v>
      </c>
      <c r="H34" s="375">
        <f t="shared" si="7"/>
        <v>30937500</v>
      </c>
      <c r="I34" s="375">
        <f t="shared" si="7"/>
        <v>28125000</v>
      </c>
      <c r="J34" s="376">
        <f t="shared" si="7"/>
        <v>28125000</v>
      </c>
    </row>
    <row r="35" spans="1:10">
      <c r="A35" s="385" t="s">
        <v>156</v>
      </c>
      <c r="B35" s="386">
        <v>2010</v>
      </c>
      <c r="C35" s="386">
        <v>2015</v>
      </c>
      <c r="D35" s="386">
        <v>2020</v>
      </c>
      <c r="E35" s="386">
        <v>2025</v>
      </c>
      <c r="F35" s="386">
        <v>2030</v>
      </c>
      <c r="G35" s="386">
        <v>2035</v>
      </c>
      <c r="H35" s="386">
        <v>2040</v>
      </c>
      <c r="I35" s="386">
        <v>2045</v>
      </c>
      <c r="J35" s="387">
        <v>2050</v>
      </c>
    </row>
    <row r="36" spans="1:10">
      <c r="A36" s="388" t="s">
        <v>62</v>
      </c>
      <c r="B36" s="371">
        <f>B$11*B20*B25</f>
        <v>57692307.692307703</v>
      </c>
      <c r="C36" s="371">
        <f t="shared" ref="C36:J36" si="8">C$11*C20*C25</f>
        <v>134307692.30769232</v>
      </c>
      <c r="D36" s="371">
        <f t="shared" si="8"/>
        <v>144692307.69230771</v>
      </c>
      <c r="E36" s="371">
        <f t="shared" si="8"/>
        <v>162000000</v>
      </c>
      <c r="F36" s="371">
        <f t="shared" si="8"/>
        <v>172384615.38461539</v>
      </c>
      <c r="G36" s="371">
        <f t="shared" si="8"/>
        <v>186230769.23076925</v>
      </c>
      <c r="H36" s="371">
        <f t="shared" si="8"/>
        <v>192461538.46153849</v>
      </c>
      <c r="I36" s="371">
        <f t="shared" si="8"/>
        <v>192461538.46153849</v>
      </c>
      <c r="J36" s="372">
        <f t="shared" si="8"/>
        <v>192461538.46153849</v>
      </c>
    </row>
    <row r="37" spans="1:10">
      <c r="A37" s="388" t="s">
        <v>142</v>
      </c>
      <c r="B37" s="371">
        <f t="shared" ref="B37:J37" si="9">B$11*B21*B26</f>
        <v>115384615.38461541</v>
      </c>
      <c r="C37" s="371">
        <f t="shared" si="9"/>
        <v>268615384.61538464</v>
      </c>
      <c r="D37" s="371">
        <f t="shared" si="9"/>
        <v>289384615.38461542</v>
      </c>
      <c r="E37" s="371">
        <f t="shared" si="9"/>
        <v>324000000</v>
      </c>
      <c r="F37" s="371">
        <f t="shared" si="9"/>
        <v>344769230.76923078</v>
      </c>
      <c r="G37" s="371">
        <f t="shared" si="9"/>
        <v>372461538.46153849</v>
      </c>
      <c r="H37" s="371">
        <f t="shared" si="9"/>
        <v>384923076.92307693</v>
      </c>
      <c r="I37" s="371">
        <f t="shared" si="9"/>
        <v>384923076.92307693</v>
      </c>
      <c r="J37" s="372">
        <f t="shared" si="9"/>
        <v>384923076.92307693</v>
      </c>
    </row>
    <row r="38" spans="1:10">
      <c r="A38" s="388" t="s">
        <v>63</v>
      </c>
      <c r="B38" s="371">
        <f>B$12*B22*B27</f>
        <v>106875000</v>
      </c>
      <c r="C38" s="371">
        <f t="shared" ref="C38:J39" si="10">C$12*C22*C27</f>
        <v>174825000</v>
      </c>
      <c r="D38" s="371">
        <f t="shared" si="10"/>
        <v>141075000</v>
      </c>
      <c r="E38" s="371">
        <f t="shared" si="10"/>
        <v>124200000</v>
      </c>
      <c r="F38" s="371">
        <f t="shared" si="10"/>
        <v>107325000</v>
      </c>
      <c r="G38" s="371">
        <f t="shared" si="10"/>
        <v>90450000</v>
      </c>
      <c r="H38" s="371">
        <f t="shared" si="10"/>
        <v>73575000</v>
      </c>
      <c r="I38" s="371">
        <f t="shared" si="10"/>
        <v>66825000</v>
      </c>
      <c r="J38" s="372">
        <f t="shared" si="10"/>
        <v>66825000</v>
      </c>
    </row>
    <row r="39" spans="1:10" ht="16.5" thickBot="1">
      <c r="A39" s="389" t="s">
        <v>143</v>
      </c>
      <c r="B39" s="375">
        <f>B$12*B23*B28</f>
        <v>44531250</v>
      </c>
      <c r="C39" s="375">
        <f t="shared" si="10"/>
        <v>72843750</v>
      </c>
      <c r="D39" s="375">
        <f t="shared" si="10"/>
        <v>58781250</v>
      </c>
      <c r="E39" s="375">
        <f t="shared" si="10"/>
        <v>51750000</v>
      </c>
      <c r="F39" s="375">
        <f t="shared" si="10"/>
        <v>44718750</v>
      </c>
      <c r="G39" s="375">
        <f t="shared" si="10"/>
        <v>37687500</v>
      </c>
      <c r="H39" s="375">
        <f t="shared" si="10"/>
        <v>30656250</v>
      </c>
      <c r="I39" s="375">
        <f t="shared" si="10"/>
        <v>27843750</v>
      </c>
      <c r="J39" s="376">
        <f t="shared" si="10"/>
        <v>27843750</v>
      </c>
    </row>
    <row r="40" spans="1:10">
      <c r="A40" s="390" t="s">
        <v>166</v>
      </c>
      <c r="B40" s="391">
        <v>2010</v>
      </c>
      <c r="C40" s="391">
        <v>2015</v>
      </c>
      <c r="D40" s="391">
        <v>2020</v>
      </c>
      <c r="E40" s="391">
        <v>2025</v>
      </c>
      <c r="F40" s="391">
        <v>2030</v>
      </c>
      <c r="G40" s="391">
        <v>2035</v>
      </c>
      <c r="H40" s="391">
        <v>2040</v>
      </c>
      <c r="I40" s="391">
        <v>2045</v>
      </c>
      <c r="J40" s="392">
        <v>2050</v>
      </c>
    </row>
    <row r="41" spans="1:10">
      <c r="A41" s="388" t="s">
        <v>62</v>
      </c>
      <c r="B41" s="371">
        <f>B$16*B20*B25</f>
        <v>57692307.692307703</v>
      </c>
      <c r="C41" s="371">
        <f t="shared" ref="C41:J41" si="11">C$16*C20*C25</f>
        <v>134307692.30769232</v>
      </c>
      <c r="D41" s="371">
        <f t="shared" si="11"/>
        <v>159230769.23076925</v>
      </c>
      <c r="E41" s="371">
        <f t="shared" si="11"/>
        <v>173076923.07692307</v>
      </c>
      <c r="F41" s="371">
        <f t="shared" si="11"/>
        <v>173076923.07692307</v>
      </c>
      <c r="G41" s="371">
        <f t="shared" si="11"/>
        <v>173076923.07692307</v>
      </c>
      <c r="H41" s="371">
        <f t="shared" si="11"/>
        <v>173076923.07692307</v>
      </c>
      <c r="I41" s="371">
        <f t="shared" si="11"/>
        <v>173076923.07692307</v>
      </c>
      <c r="J41" s="372">
        <f t="shared" si="11"/>
        <v>173076923.07692307</v>
      </c>
    </row>
    <row r="42" spans="1:10">
      <c r="A42" s="388" t="s">
        <v>142</v>
      </c>
      <c r="B42" s="371">
        <f t="shared" ref="B42:J42" si="12">B$16*B21*B26</f>
        <v>115384615.38461541</v>
      </c>
      <c r="C42" s="371">
        <f t="shared" si="12"/>
        <v>268615384.61538464</v>
      </c>
      <c r="D42" s="371">
        <f t="shared" si="12"/>
        <v>318461538.46153849</v>
      </c>
      <c r="E42" s="371">
        <f t="shared" si="12"/>
        <v>346153846.15384614</v>
      </c>
      <c r="F42" s="371">
        <f t="shared" si="12"/>
        <v>346153846.15384614</v>
      </c>
      <c r="G42" s="371">
        <f t="shared" si="12"/>
        <v>346153846.15384614</v>
      </c>
      <c r="H42" s="371">
        <f t="shared" si="12"/>
        <v>346153846.15384614</v>
      </c>
      <c r="I42" s="371">
        <f t="shared" si="12"/>
        <v>346153846.15384614</v>
      </c>
      <c r="J42" s="372">
        <f t="shared" si="12"/>
        <v>346153846.15384614</v>
      </c>
    </row>
    <row r="43" spans="1:10">
      <c r="A43" s="388" t="s">
        <v>63</v>
      </c>
      <c r="B43" s="371">
        <f>B$17*B22*B27</f>
        <v>106875000</v>
      </c>
      <c r="C43" s="371">
        <f t="shared" ref="C43:J44" si="13">C$17*C22*C27</f>
        <v>174825000</v>
      </c>
      <c r="D43" s="371">
        <f t="shared" si="13"/>
        <v>114750000</v>
      </c>
      <c r="E43" s="371">
        <f t="shared" si="13"/>
        <v>81000000</v>
      </c>
      <c r="F43" s="371">
        <f t="shared" si="13"/>
        <v>47250000</v>
      </c>
      <c r="G43" s="371">
        <f t="shared" si="13"/>
        <v>33750000</v>
      </c>
      <c r="H43" s="371">
        <f t="shared" si="13"/>
        <v>33750000</v>
      </c>
      <c r="I43" s="371">
        <f t="shared" si="13"/>
        <v>33750000</v>
      </c>
      <c r="J43" s="372">
        <f t="shared" si="13"/>
        <v>33750000</v>
      </c>
    </row>
    <row r="44" spans="1:10" ht="16.5" thickBot="1">
      <c r="A44" s="389" t="s">
        <v>143</v>
      </c>
      <c r="B44" s="375">
        <f>B$17*B23*B28</f>
        <v>44531250</v>
      </c>
      <c r="C44" s="375">
        <f t="shared" si="13"/>
        <v>72843750</v>
      </c>
      <c r="D44" s="375">
        <f t="shared" si="13"/>
        <v>47812500</v>
      </c>
      <c r="E44" s="375">
        <f t="shared" si="13"/>
        <v>33750000</v>
      </c>
      <c r="F44" s="375">
        <f t="shared" si="13"/>
        <v>19687500</v>
      </c>
      <c r="G44" s="375">
        <f t="shared" si="13"/>
        <v>14062500</v>
      </c>
      <c r="H44" s="375">
        <f t="shared" si="13"/>
        <v>14062500</v>
      </c>
      <c r="I44" s="375">
        <f t="shared" si="13"/>
        <v>14062500</v>
      </c>
      <c r="J44" s="376">
        <f t="shared" si="13"/>
        <v>14062500</v>
      </c>
    </row>
    <row r="45" spans="1:10">
      <c r="A45" s="379"/>
      <c r="B45" s="371"/>
      <c r="C45" s="371"/>
      <c r="D45" s="371"/>
      <c r="E45" s="371"/>
      <c r="F45" s="371"/>
      <c r="G45" s="371"/>
      <c r="H45" s="371"/>
      <c r="I45" s="371"/>
      <c r="J45" s="371"/>
    </row>
    <row r="46" spans="1:10">
      <c r="A46" s="379"/>
      <c r="B46" s="371"/>
      <c r="C46" s="371"/>
      <c r="D46" s="371"/>
      <c r="E46" s="371"/>
      <c r="F46" s="371"/>
      <c r="G46" s="371"/>
      <c r="H46" s="371"/>
      <c r="I46" s="371"/>
      <c r="J46" s="371"/>
    </row>
    <row r="47" spans="1:10">
      <c r="A47" s="379"/>
      <c r="B47" s="371"/>
      <c r="C47" s="371"/>
      <c r="D47" s="371"/>
      <c r="E47" s="371"/>
      <c r="F47" s="371"/>
      <c r="G47" s="371"/>
      <c r="H47" s="371"/>
      <c r="I47" s="371"/>
      <c r="J47" s="371"/>
    </row>
    <row r="49" spans="1:10">
      <c r="B49" s="393">
        <v>2010</v>
      </c>
      <c r="C49" s="394">
        <v>2015</v>
      </c>
      <c r="D49" s="394">
        <v>2020</v>
      </c>
      <c r="E49" s="395">
        <v>2025</v>
      </c>
      <c r="F49" s="395">
        <v>2030</v>
      </c>
      <c r="G49" s="395">
        <v>2035</v>
      </c>
      <c r="H49" s="395">
        <v>2040</v>
      </c>
      <c r="I49" s="395">
        <v>2045</v>
      </c>
      <c r="J49" s="395">
        <v>2050</v>
      </c>
    </row>
    <row r="50" spans="1:10" s="359" customFormat="1">
      <c r="A50" s="396" t="s">
        <v>194</v>
      </c>
      <c r="B50" s="397">
        <f>B2</f>
        <v>460833.33333333337</v>
      </c>
      <c r="C50" s="397">
        <f>C2</f>
        <v>565066.66666666674</v>
      </c>
      <c r="D50" s="397">
        <f>D2</f>
        <v>638066.66666666674</v>
      </c>
      <c r="E50" s="398">
        <f>$D50*STREAM!E103</f>
        <v>775979.61163720454</v>
      </c>
      <c r="F50" s="398">
        <f>$D50*STREAM!F103</f>
        <v>829486.04887636425</v>
      </c>
      <c r="G50" s="398">
        <f>$D50*STREAM!G103</f>
        <v>850916.41124562593</v>
      </c>
      <c r="H50" s="398">
        <f>$D50*STREAM!H103</f>
        <v>872346.77361488773</v>
      </c>
      <c r="I50" s="398">
        <f>$D50*STREAM!I103</f>
        <v>893777.13598414941</v>
      </c>
      <c r="J50" s="398">
        <f>$D50*STREAM!J103</f>
        <v>915207.49835341098</v>
      </c>
    </row>
    <row r="51" spans="1:10">
      <c r="B51" s="231">
        <f t="shared" ref="B51:J51" si="14">B50/B7*1000</f>
        <v>412.64314725092362</v>
      </c>
      <c r="C51" s="231">
        <f t="shared" si="14"/>
        <v>423.20877733805878</v>
      </c>
      <c r="D51" s="231">
        <f t="shared" si="14"/>
        <v>481.95658966489896</v>
      </c>
      <c r="E51" s="231">
        <f t="shared" si="14"/>
        <v>595.2790763398001</v>
      </c>
      <c r="F51" s="231">
        <f t="shared" si="14"/>
        <v>648.10433043826049</v>
      </c>
      <c r="G51" s="231">
        <f t="shared" si="14"/>
        <v>676.03603065550635</v>
      </c>
      <c r="H51" s="231">
        <f t="shared" si="14"/>
        <v>701.80302428857078</v>
      </c>
      <c r="I51" s="231">
        <f t="shared" si="14"/>
        <v>727.40682841056923</v>
      </c>
      <c r="J51" s="231">
        <f t="shared" si="14"/>
        <v>754.33686432961338</v>
      </c>
    </row>
    <row r="52" spans="1:10">
      <c r="E52" s="272">
        <f t="shared" ref="E52:J52" si="15">E50/$D50</f>
        <v>1.2161419051883886</v>
      </c>
      <c r="F52" s="272">
        <f t="shared" si="15"/>
        <v>1.2999990317778145</v>
      </c>
      <c r="G52" s="272">
        <f t="shared" si="15"/>
        <v>1.3335854318968119</v>
      </c>
      <c r="H52" s="272">
        <f t="shared" si="15"/>
        <v>1.3671718320158097</v>
      </c>
      <c r="I52" s="272">
        <f t="shared" si="15"/>
        <v>1.4007582321348071</v>
      </c>
      <c r="J52" s="272">
        <f t="shared" si="15"/>
        <v>1.4343446322538045</v>
      </c>
    </row>
    <row r="53" spans="1:10">
      <c r="A53" s="378" t="s">
        <v>62</v>
      </c>
      <c r="B53" s="232">
        <f>5/13</f>
        <v>0.38461538461538464</v>
      </c>
      <c r="C53" s="232">
        <f t="shared" ref="C53:J53" si="16">5/13</f>
        <v>0.38461538461538464</v>
      </c>
      <c r="D53" s="232">
        <f t="shared" si="16"/>
        <v>0.38461538461538464</v>
      </c>
      <c r="E53" s="232">
        <f t="shared" si="16"/>
        <v>0.38461538461538464</v>
      </c>
      <c r="F53" s="232">
        <f t="shared" si="16"/>
        <v>0.38461538461538464</v>
      </c>
      <c r="G53" s="232">
        <f t="shared" si="16"/>
        <v>0.38461538461538464</v>
      </c>
      <c r="H53" s="232">
        <f t="shared" si="16"/>
        <v>0.38461538461538464</v>
      </c>
      <c r="I53" s="232">
        <f t="shared" si="16"/>
        <v>0.38461538461538464</v>
      </c>
      <c r="J53" s="232">
        <f t="shared" si="16"/>
        <v>0.38461538461538464</v>
      </c>
    </row>
    <row r="54" spans="1:10">
      <c r="A54" s="378" t="s">
        <v>142</v>
      </c>
      <c r="B54" s="232">
        <f>8/13</f>
        <v>0.61538461538461542</v>
      </c>
      <c r="C54" s="232">
        <f t="shared" ref="C54:J54" si="17">8/13</f>
        <v>0.61538461538461542</v>
      </c>
      <c r="D54" s="232">
        <f t="shared" si="17"/>
        <v>0.61538461538461542</v>
      </c>
      <c r="E54" s="232">
        <f t="shared" si="17"/>
        <v>0.61538461538461542</v>
      </c>
      <c r="F54" s="232">
        <f t="shared" si="17"/>
        <v>0.61538461538461542</v>
      </c>
      <c r="G54" s="232">
        <f t="shared" si="17"/>
        <v>0.61538461538461542</v>
      </c>
      <c r="H54" s="232">
        <f t="shared" si="17"/>
        <v>0.61538461538461542</v>
      </c>
      <c r="I54" s="232">
        <f t="shared" si="17"/>
        <v>0.61538461538461542</v>
      </c>
      <c r="J54" s="232">
        <f t="shared" si="17"/>
        <v>0.61538461538461542</v>
      </c>
    </row>
    <row r="55" spans="1:10">
      <c r="A55" s="378" t="s">
        <v>63</v>
      </c>
      <c r="B55" s="232">
        <f>9/12</f>
        <v>0.75</v>
      </c>
      <c r="C55" s="232">
        <f t="shared" ref="C55:J55" si="18">9/12</f>
        <v>0.75</v>
      </c>
      <c r="D55" s="232">
        <f t="shared" si="18"/>
        <v>0.75</v>
      </c>
      <c r="E55" s="232">
        <f t="shared" si="18"/>
        <v>0.75</v>
      </c>
      <c r="F55" s="232">
        <f t="shared" si="18"/>
        <v>0.75</v>
      </c>
      <c r="G55" s="232">
        <f t="shared" si="18"/>
        <v>0.75</v>
      </c>
      <c r="H55" s="232">
        <f t="shared" si="18"/>
        <v>0.75</v>
      </c>
      <c r="I55" s="232">
        <f t="shared" si="18"/>
        <v>0.75</v>
      </c>
      <c r="J55" s="232">
        <f t="shared" si="18"/>
        <v>0.75</v>
      </c>
    </row>
    <row r="56" spans="1:10">
      <c r="A56" s="378" t="s">
        <v>143</v>
      </c>
      <c r="B56" s="232">
        <f>3/12</f>
        <v>0.25</v>
      </c>
      <c r="C56" s="232">
        <f t="shared" ref="C56:J56" si="19">3/12</f>
        <v>0.25</v>
      </c>
      <c r="D56" s="232">
        <f t="shared" si="19"/>
        <v>0.25</v>
      </c>
      <c r="E56" s="232">
        <f t="shared" si="19"/>
        <v>0.25</v>
      </c>
      <c r="F56" s="232">
        <f t="shared" si="19"/>
        <v>0.25</v>
      </c>
      <c r="G56" s="232">
        <f t="shared" si="19"/>
        <v>0.25</v>
      </c>
      <c r="H56" s="232">
        <f t="shared" si="19"/>
        <v>0.25</v>
      </c>
      <c r="I56" s="232">
        <f t="shared" si="19"/>
        <v>0.25</v>
      </c>
      <c r="J56" s="232">
        <f t="shared" si="19"/>
        <v>0.25</v>
      </c>
    </row>
    <row r="58" spans="1:10">
      <c r="A58" s="379" t="s">
        <v>190</v>
      </c>
      <c r="B58" s="207">
        <v>18000</v>
      </c>
      <c r="C58" s="207">
        <v>18000</v>
      </c>
      <c r="D58" s="207">
        <v>18000</v>
      </c>
      <c r="E58" s="207">
        <v>18000</v>
      </c>
      <c r="F58" s="207">
        <v>18000</v>
      </c>
      <c r="G58" s="207">
        <v>18000</v>
      </c>
      <c r="H58" s="207">
        <v>18000</v>
      </c>
      <c r="I58" s="207">
        <v>18000</v>
      </c>
      <c r="J58" s="207">
        <v>18000</v>
      </c>
    </row>
    <row r="59" spans="1:10">
      <c r="A59" s="379" t="s">
        <v>191</v>
      </c>
      <c r="B59" s="207">
        <f>B58*1.25</f>
        <v>22500</v>
      </c>
      <c r="C59" s="207">
        <f t="shared" ref="C59:J59" si="20">C58*1.25</f>
        <v>22500</v>
      </c>
      <c r="D59" s="207">
        <f t="shared" si="20"/>
        <v>22500</v>
      </c>
      <c r="E59" s="207">
        <f t="shared" si="20"/>
        <v>22500</v>
      </c>
      <c r="F59" s="207">
        <f t="shared" si="20"/>
        <v>22500</v>
      </c>
      <c r="G59" s="207">
        <f t="shared" si="20"/>
        <v>22500</v>
      </c>
      <c r="H59" s="207">
        <f t="shared" si="20"/>
        <v>22500</v>
      </c>
      <c r="I59" s="207">
        <f t="shared" si="20"/>
        <v>22500</v>
      </c>
      <c r="J59" s="207">
        <f t="shared" si="20"/>
        <v>22500</v>
      </c>
    </row>
    <row r="60" spans="1:10">
      <c r="A60" s="379" t="s">
        <v>192</v>
      </c>
      <c r="B60" s="207">
        <v>9000</v>
      </c>
      <c r="C60" s="207">
        <v>9000</v>
      </c>
      <c r="D60" s="207">
        <v>9000</v>
      </c>
      <c r="E60" s="207">
        <v>9000</v>
      </c>
      <c r="F60" s="207">
        <v>9000</v>
      </c>
      <c r="G60" s="207">
        <v>9000</v>
      </c>
      <c r="H60" s="207">
        <v>9000</v>
      </c>
      <c r="I60" s="207">
        <v>9000</v>
      </c>
      <c r="J60" s="207">
        <v>9000</v>
      </c>
    </row>
    <row r="61" spans="1:10">
      <c r="A61" s="379" t="s">
        <v>193</v>
      </c>
      <c r="B61" s="207">
        <f>B60*1.25</f>
        <v>11250</v>
      </c>
      <c r="C61" s="207">
        <f t="shared" ref="C61:J61" si="21">C60*1.25</f>
        <v>11250</v>
      </c>
      <c r="D61" s="207">
        <f t="shared" si="21"/>
        <v>11250</v>
      </c>
      <c r="E61" s="207">
        <f t="shared" si="21"/>
        <v>11250</v>
      </c>
      <c r="F61" s="207">
        <f t="shared" si="21"/>
        <v>11250</v>
      </c>
      <c r="G61" s="207">
        <f t="shared" si="21"/>
        <v>11250</v>
      </c>
      <c r="H61" s="207">
        <f t="shared" si="21"/>
        <v>11250</v>
      </c>
      <c r="I61" s="207">
        <f t="shared" si="21"/>
        <v>11250</v>
      </c>
      <c r="J61" s="207">
        <f t="shared" si="21"/>
        <v>11250</v>
      </c>
    </row>
    <row r="64" spans="1:10">
      <c r="A64" s="207" t="s">
        <v>195</v>
      </c>
    </row>
    <row r="65" spans="1:10">
      <c r="B65" s="359">
        <v>2010</v>
      </c>
      <c r="C65" s="359">
        <v>2015</v>
      </c>
      <c r="D65" s="359">
        <v>2020</v>
      </c>
      <c r="E65" s="359">
        <v>2025</v>
      </c>
      <c r="F65" s="359">
        <v>2030</v>
      </c>
      <c r="G65" s="359">
        <v>2035</v>
      </c>
      <c r="H65" s="359">
        <v>2040</v>
      </c>
      <c r="I65" s="359">
        <v>2045</v>
      </c>
      <c r="J65" s="359">
        <v>2050</v>
      </c>
    </row>
    <row r="66" spans="1:10">
      <c r="A66" s="378" t="s">
        <v>62</v>
      </c>
      <c r="B66" s="231">
        <f>B$3*B5+B53*B545*B60</f>
        <v>201388888.88888893</v>
      </c>
      <c r="C66" s="231">
        <f t="shared" ref="C66:J66" si="22">C$3*C5+C53*C545*C60</f>
        <v>893760000</v>
      </c>
      <c r="D66" s="231">
        <f t="shared" si="22"/>
        <v>888310000</v>
      </c>
      <c r="E66" s="231">
        <f t="shared" si="22"/>
        <v>993560000</v>
      </c>
      <c r="F66" s="231">
        <f t="shared" si="22"/>
        <v>1031610000</v>
      </c>
      <c r="G66" s="231">
        <f t="shared" si="22"/>
        <v>1100260000</v>
      </c>
      <c r="H66" s="231">
        <f t="shared" si="22"/>
        <v>1092000000</v>
      </c>
      <c r="I66" s="231">
        <f t="shared" si="22"/>
        <v>1064000000</v>
      </c>
      <c r="J66" s="231">
        <f t="shared" si="22"/>
        <v>1064000000</v>
      </c>
    </row>
    <row r="67" spans="1:10">
      <c r="A67" s="378" t="s">
        <v>142</v>
      </c>
      <c r="B67" s="231">
        <f t="shared" ref="B67:J69" si="23">B$3*B6+B54*B546*B61</f>
        <v>97222222.222222239</v>
      </c>
      <c r="C67" s="231">
        <f t="shared" si="23"/>
        <v>509600000</v>
      </c>
      <c r="D67" s="231">
        <f t="shared" si="23"/>
        <v>654100000</v>
      </c>
      <c r="E67" s="231">
        <f t="shared" si="23"/>
        <v>790600000</v>
      </c>
      <c r="F67" s="231">
        <f t="shared" si="23"/>
        <v>878500000</v>
      </c>
      <c r="G67" s="231">
        <f t="shared" si="23"/>
        <v>948500000</v>
      </c>
      <c r="H67" s="231">
        <f t="shared" si="23"/>
        <v>980000000</v>
      </c>
      <c r="I67" s="231">
        <f t="shared" si="23"/>
        <v>980000000</v>
      </c>
      <c r="J67" s="231">
        <f t="shared" si="23"/>
        <v>980000000</v>
      </c>
    </row>
    <row r="68" spans="1:10">
      <c r="A68" s="378" t="s">
        <v>63</v>
      </c>
      <c r="B68" s="231">
        <f t="shared" si="23"/>
        <v>9306534722.2222233</v>
      </c>
      <c r="C68" s="231">
        <f t="shared" si="23"/>
        <v>26169841600</v>
      </c>
      <c r="D68" s="231">
        <f t="shared" si="23"/>
        <v>27934479900</v>
      </c>
      <c r="E68" s="231">
        <f t="shared" si="23"/>
        <v>30763921600</v>
      </c>
      <c r="F68" s="231">
        <f t="shared" si="23"/>
        <v>32124611500</v>
      </c>
      <c r="G68" s="231">
        <f t="shared" si="23"/>
        <v>34110363500</v>
      </c>
      <c r="H68" s="231">
        <f t="shared" si="23"/>
        <v>34804224000</v>
      </c>
      <c r="I68" s="231">
        <f t="shared" si="23"/>
        <v>34404076000</v>
      </c>
      <c r="J68" s="231">
        <f t="shared" si="23"/>
        <v>33971308000</v>
      </c>
    </row>
    <row r="69" spans="1:10">
      <c r="A69" s="378" t="s">
        <v>143</v>
      </c>
      <c r="B69" s="231">
        <f t="shared" si="23"/>
        <v>2865577.411464748</v>
      </c>
      <c r="C69" s="231">
        <f t="shared" si="23"/>
        <v>8294892.035825952</v>
      </c>
      <c r="D69" s="231">
        <f t="shared" si="23"/>
        <v>10169284.041929368</v>
      </c>
      <c r="E69" s="231">
        <f t="shared" si="23"/>
        <v>12420773.126228051</v>
      </c>
      <c r="F69" s="231">
        <f t="shared" si="23"/>
        <v>14180381.003725654</v>
      </c>
      <c r="G69" s="231">
        <f t="shared" si="23"/>
        <v>16192301.224426024</v>
      </c>
      <c r="H69" s="231">
        <f t="shared" si="23"/>
        <v>17468163.251295786</v>
      </c>
      <c r="I69" s="231">
        <f t="shared" si="23"/>
        <v>18024546.471373528</v>
      </c>
      <c r="J69" s="231">
        <f t="shared" si="23"/>
        <v>18600339.635632128</v>
      </c>
    </row>
    <row r="73" spans="1:10">
      <c r="B73" s="231">
        <f>SUM(B31:B34)</f>
        <v>324483173.07692313</v>
      </c>
      <c r="C73" s="231">
        <f>SUM(C31:C34)</f>
        <v>655701923.07692313</v>
      </c>
    </row>
    <row r="74" spans="1:10">
      <c r="B74" s="207">
        <f>(B73+(C73-B73)/5)/1000000</f>
        <v>390.72692307692313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2060"/>
  </sheetPr>
  <dimension ref="A1:Q48"/>
  <sheetViews>
    <sheetView zoomScale="125" zoomScaleNormal="125" zoomScalePageLayoutView="125" workbookViewId="0">
      <selection activeCell="F9" sqref="F9"/>
    </sheetView>
  </sheetViews>
  <sheetFormatPr defaultColWidth="12.42578125" defaultRowHeight="15.75"/>
  <cols>
    <col min="1" max="1" width="5.42578125" style="207" bestFit="1" customWidth="1"/>
    <col min="2" max="2" width="35.42578125" style="207" customWidth="1"/>
    <col min="3" max="3" width="4" style="207" bestFit="1" customWidth="1"/>
    <col min="4" max="6" width="5.85546875" style="207" bestFit="1" customWidth="1"/>
    <col min="7" max="7" width="6.28515625" style="207" bestFit="1" customWidth="1"/>
    <col min="8" max="11" width="7.85546875" style="207" bestFit="1" customWidth="1"/>
    <col min="12" max="12" width="6.28515625" style="207" bestFit="1" customWidth="1"/>
    <col min="13" max="16384" width="12.42578125" style="207"/>
  </cols>
  <sheetData>
    <row r="1" spans="1:17">
      <c r="A1" s="399" t="s">
        <v>125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7" s="408" customFormat="1">
      <c r="A2" s="402"/>
      <c r="B2" s="403"/>
      <c r="C2" s="404" t="s">
        <v>55</v>
      </c>
      <c r="D2" s="404">
        <v>2010</v>
      </c>
      <c r="E2" s="404">
        <v>2015</v>
      </c>
      <c r="F2" s="404">
        <v>2020</v>
      </c>
      <c r="G2" s="405">
        <v>2025</v>
      </c>
      <c r="H2" s="405">
        <v>2030</v>
      </c>
      <c r="I2" s="405">
        <v>2035</v>
      </c>
      <c r="J2" s="405">
        <v>2040</v>
      </c>
      <c r="K2" s="405">
        <v>2045</v>
      </c>
      <c r="L2" s="406">
        <v>2050</v>
      </c>
      <c r="M2" s="407"/>
    </row>
    <row r="3" spans="1:17">
      <c r="A3" s="360">
        <v>1</v>
      </c>
      <c r="B3" s="213" t="s">
        <v>59</v>
      </c>
      <c r="C3" s="213" t="s">
        <v>133</v>
      </c>
      <c r="D3" s="213"/>
      <c r="E3" s="214"/>
      <c r="F3" s="214"/>
      <c r="G3" s="214"/>
      <c r="H3" s="214"/>
      <c r="I3" s="214"/>
      <c r="J3" s="214"/>
      <c r="K3" s="214"/>
      <c r="L3" s="215"/>
      <c r="M3" s="409"/>
      <c r="N3" s="207" t="s">
        <v>134</v>
      </c>
    </row>
    <row r="4" spans="1:17">
      <c r="A4" s="360">
        <v>20</v>
      </c>
      <c r="B4" s="217" t="s">
        <v>61</v>
      </c>
      <c r="C4" s="218" t="s">
        <v>133</v>
      </c>
      <c r="D4" s="218"/>
      <c r="E4" s="219">
        <f t="shared" ref="E4:L4" si="0">SUM(E11:E12)</f>
        <v>15</v>
      </c>
      <c r="F4" s="219">
        <f t="shared" si="0"/>
        <v>15</v>
      </c>
      <c r="G4" s="219">
        <f t="shared" si="0"/>
        <v>18.407882283681946</v>
      </c>
      <c r="H4" s="219">
        <f t="shared" si="0"/>
        <v>18.563239617099732</v>
      </c>
      <c r="I4" s="219">
        <f t="shared" si="0"/>
        <v>18.858115120298276</v>
      </c>
      <c r="J4" s="219">
        <f t="shared" si="0"/>
        <v>19.152990623496816</v>
      </c>
      <c r="K4" s="219">
        <f t="shared" si="0"/>
        <v>19.447866126695356</v>
      </c>
      <c r="L4" s="220">
        <f t="shared" si="0"/>
        <v>19.742741629893896</v>
      </c>
      <c r="M4" s="410"/>
    </row>
    <row r="5" spans="1:17">
      <c r="A5" s="360">
        <v>7</v>
      </c>
      <c r="B5" s="411" t="s">
        <v>141</v>
      </c>
      <c r="C5" s="229" t="s">
        <v>133</v>
      </c>
      <c r="D5" s="229"/>
      <c r="E5" s="230">
        <f>SUM(E6:E8)</f>
        <v>0</v>
      </c>
      <c r="F5" s="230">
        <f t="shared" ref="F5:L5" si="1">SUM(F6:F8)</f>
        <v>5</v>
      </c>
      <c r="G5" s="230">
        <f t="shared" si="1"/>
        <v>5</v>
      </c>
      <c r="H5" s="230">
        <f t="shared" si="1"/>
        <v>5</v>
      </c>
      <c r="I5" s="230">
        <f t="shared" si="1"/>
        <v>5</v>
      </c>
      <c r="J5" s="230">
        <f t="shared" si="1"/>
        <v>5</v>
      </c>
      <c r="K5" s="230">
        <f t="shared" si="1"/>
        <v>5</v>
      </c>
      <c r="L5" s="230">
        <f t="shared" si="1"/>
        <v>5</v>
      </c>
      <c r="M5" s="412"/>
      <c r="N5" s="207" t="s">
        <v>140</v>
      </c>
    </row>
    <row r="6" spans="1:17">
      <c r="A6" s="360"/>
      <c r="B6" s="413" t="s">
        <v>196</v>
      </c>
      <c r="C6" s="229" t="s">
        <v>133</v>
      </c>
      <c r="D6" s="229"/>
      <c r="E6" s="230"/>
      <c r="F6" s="230">
        <f>200/40</f>
        <v>5</v>
      </c>
      <c r="G6" s="230">
        <f t="shared" ref="G6:L6" si="2">200/40</f>
        <v>5</v>
      </c>
      <c r="H6" s="230">
        <f t="shared" si="2"/>
        <v>5</v>
      </c>
      <c r="I6" s="230">
        <f t="shared" si="2"/>
        <v>5</v>
      </c>
      <c r="J6" s="230">
        <f t="shared" si="2"/>
        <v>5</v>
      </c>
      <c r="K6" s="230">
        <f t="shared" si="2"/>
        <v>5</v>
      </c>
      <c r="L6" s="230">
        <f t="shared" si="2"/>
        <v>5</v>
      </c>
      <c r="M6" s="412"/>
    </row>
    <row r="7" spans="1:17">
      <c r="A7" s="360"/>
      <c r="B7" s="411"/>
      <c r="C7" s="229" t="s">
        <v>133</v>
      </c>
      <c r="D7" s="229"/>
      <c r="E7" s="230"/>
      <c r="F7" s="230"/>
      <c r="G7" s="230"/>
      <c r="H7" s="230"/>
      <c r="I7" s="230"/>
      <c r="J7" s="230"/>
      <c r="K7" s="230"/>
      <c r="L7" s="230"/>
      <c r="M7" s="412"/>
    </row>
    <row r="8" spans="1:17">
      <c r="A8" s="360"/>
      <c r="B8" s="411"/>
      <c r="C8" s="229" t="s">
        <v>133</v>
      </c>
      <c r="D8" s="229"/>
      <c r="E8" s="230"/>
      <c r="F8" s="230"/>
      <c r="G8" s="230"/>
      <c r="H8" s="230"/>
      <c r="I8" s="230"/>
      <c r="J8" s="230"/>
      <c r="K8" s="230"/>
      <c r="L8" s="230"/>
      <c r="M8" s="412"/>
    </row>
    <row r="9" spans="1:17">
      <c r="A9" s="360">
        <v>16</v>
      </c>
      <c r="B9" s="213" t="s">
        <v>144</v>
      </c>
      <c r="C9" s="213" t="s">
        <v>133</v>
      </c>
      <c r="D9" s="213"/>
      <c r="E9" s="214">
        <f t="shared" ref="E9:L9" si="3">SUM(E11:E17)</f>
        <v>20.134499999999999</v>
      </c>
      <c r="F9" s="214">
        <f t="shared" si="3"/>
        <v>60.134500000000003</v>
      </c>
      <c r="G9" s="214">
        <f t="shared" si="3"/>
        <v>63.542382283681945</v>
      </c>
      <c r="H9" s="214">
        <f t="shared" si="3"/>
        <v>63.697739617099735</v>
      </c>
      <c r="I9" s="214">
        <f t="shared" si="3"/>
        <v>63.992615120298282</v>
      </c>
      <c r="J9" s="214">
        <f t="shared" si="3"/>
        <v>64.287490623496822</v>
      </c>
      <c r="K9" s="214">
        <f t="shared" si="3"/>
        <v>64.582366126695362</v>
      </c>
      <c r="L9" s="214">
        <f t="shared" si="3"/>
        <v>64.877241629893902</v>
      </c>
      <c r="M9" s="409"/>
      <c r="P9" s="232"/>
      <c r="Q9" s="232"/>
    </row>
    <row r="10" spans="1:17">
      <c r="A10" s="360">
        <v>20</v>
      </c>
      <c r="B10" s="217" t="s">
        <v>61</v>
      </c>
      <c r="C10" s="218" t="s">
        <v>133</v>
      </c>
      <c r="D10" s="218"/>
      <c r="E10" s="219">
        <f>SUM(E11:E12)</f>
        <v>15</v>
      </c>
      <c r="F10" s="219">
        <f t="shared" ref="F10:L10" si="4">SUM(F11:F12)</f>
        <v>15</v>
      </c>
      <c r="G10" s="219">
        <f t="shared" si="4"/>
        <v>18.407882283681946</v>
      </c>
      <c r="H10" s="219">
        <f t="shared" si="4"/>
        <v>18.563239617099732</v>
      </c>
      <c r="I10" s="219">
        <f t="shared" si="4"/>
        <v>18.858115120298276</v>
      </c>
      <c r="J10" s="219">
        <f t="shared" si="4"/>
        <v>19.152990623496816</v>
      </c>
      <c r="K10" s="219">
        <f t="shared" si="4"/>
        <v>19.447866126695356</v>
      </c>
      <c r="L10" s="220">
        <f t="shared" si="4"/>
        <v>19.742741629893896</v>
      </c>
      <c r="M10" s="410"/>
    </row>
    <row r="11" spans="1:17">
      <c r="A11" s="360">
        <v>21</v>
      </c>
      <c r="B11" s="227" t="s">
        <v>139</v>
      </c>
      <c r="C11" s="223" t="s">
        <v>133</v>
      </c>
      <c r="D11" s="223"/>
      <c r="E11" s="234"/>
      <c r="F11" s="234"/>
      <c r="G11" s="225">
        <v>3.3</v>
      </c>
      <c r="H11" s="225">
        <f>$G11*STREAM!F107</f>
        <v>3.347469439149132</v>
      </c>
      <c r="I11" s="225">
        <f>$G11*STREAM!G107</f>
        <v>3.4006437102177216</v>
      </c>
      <c r="J11" s="225">
        <f>$G11*STREAM!H107</f>
        <v>3.4538179812863108</v>
      </c>
      <c r="K11" s="225">
        <f>$G11*STREAM!I107</f>
        <v>3.5069922523549004</v>
      </c>
      <c r="L11" s="225">
        <f>$G11*STREAM!J107</f>
        <v>3.5601665234234892</v>
      </c>
      <c r="M11" s="414"/>
      <c r="N11" s="237" t="s">
        <v>148</v>
      </c>
    </row>
    <row r="12" spans="1:17">
      <c r="A12" s="360">
        <v>22</v>
      </c>
      <c r="B12" s="227" t="s">
        <v>149</v>
      </c>
      <c r="C12" s="223" t="s">
        <v>133</v>
      </c>
      <c r="D12" s="223"/>
      <c r="E12" s="224">
        <v>15</v>
      </c>
      <c r="F12" s="224">
        <v>15</v>
      </c>
      <c r="G12" s="225">
        <f>$F12*STREAM!E107</f>
        <v>15.107882283681946</v>
      </c>
      <c r="H12" s="225">
        <f>$F12*STREAM!F107</f>
        <v>15.215770177950601</v>
      </c>
      <c r="I12" s="225">
        <f>$F12*STREAM!G107</f>
        <v>15.457471410080554</v>
      </c>
      <c r="J12" s="225">
        <f>$F12*STREAM!H107</f>
        <v>15.699172642210504</v>
      </c>
      <c r="K12" s="225">
        <f>$F12*STREAM!I107</f>
        <v>15.940873874340456</v>
      </c>
      <c r="L12" s="225">
        <f>$F12*STREAM!J107</f>
        <v>16.182575106470406</v>
      </c>
      <c r="M12" s="415"/>
      <c r="N12" s="237" t="s">
        <v>148</v>
      </c>
    </row>
    <row r="13" spans="1:17">
      <c r="A13" s="360">
        <v>10</v>
      </c>
      <c r="B13" s="227" t="s">
        <v>172</v>
      </c>
      <c r="C13" s="223" t="s">
        <v>133</v>
      </c>
      <c r="D13" s="223">
        <f>SUM(D14:D17)</f>
        <v>0</v>
      </c>
      <c r="E13" s="224">
        <f>SUM(E14:E16)</f>
        <v>2.5672499999999996</v>
      </c>
      <c r="F13" s="224">
        <f t="shared" ref="F13:L13" si="5">SUM(F14:F16)</f>
        <v>22.567250000000001</v>
      </c>
      <c r="G13" s="224">
        <f t="shared" si="5"/>
        <v>22.567250000000001</v>
      </c>
      <c r="H13" s="224">
        <f t="shared" si="5"/>
        <v>22.567250000000001</v>
      </c>
      <c r="I13" s="224">
        <f t="shared" si="5"/>
        <v>22.567250000000001</v>
      </c>
      <c r="J13" s="224">
        <f t="shared" si="5"/>
        <v>22.567250000000001</v>
      </c>
      <c r="K13" s="224">
        <f t="shared" si="5"/>
        <v>22.567250000000001</v>
      </c>
      <c r="L13" s="224">
        <f t="shared" si="5"/>
        <v>22.567250000000001</v>
      </c>
      <c r="M13" s="412"/>
    </row>
    <row r="14" spans="1:17">
      <c r="A14" s="360"/>
      <c r="B14" s="416" t="s">
        <v>197</v>
      </c>
      <c r="C14" s="417"/>
      <c r="D14" s="417"/>
      <c r="E14" s="418">
        <f>132*0.42/40</f>
        <v>1.3859999999999999</v>
      </c>
      <c r="F14" s="418">
        <f t="shared" ref="F14:L14" si="6">132*0.42/40</f>
        <v>1.3859999999999999</v>
      </c>
      <c r="G14" s="418">
        <f t="shared" si="6"/>
        <v>1.3859999999999999</v>
      </c>
      <c r="H14" s="418">
        <f t="shared" si="6"/>
        <v>1.3859999999999999</v>
      </c>
      <c r="I14" s="418">
        <f t="shared" si="6"/>
        <v>1.3859999999999999</v>
      </c>
      <c r="J14" s="418">
        <f t="shared" si="6"/>
        <v>1.3859999999999999</v>
      </c>
      <c r="K14" s="418">
        <f t="shared" si="6"/>
        <v>1.3859999999999999</v>
      </c>
      <c r="L14" s="418">
        <f t="shared" si="6"/>
        <v>1.3859999999999999</v>
      </c>
      <c r="M14" s="374"/>
    </row>
    <row r="15" spans="1:17">
      <c r="A15" s="360"/>
      <c r="B15" s="416" t="s">
        <v>198</v>
      </c>
      <c r="C15" s="417"/>
      <c r="D15" s="417"/>
      <c r="E15" s="418">
        <f>112.5*0.42/40</f>
        <v>1.1812499999999999</v>
      </c>
      <c r="F15" s="418">
        <f t="shared" ref="F15:L15" si="7">112.5*0.42/40</f>
        <v>1.1812499999999999</v>
      </c>
      <c r="G15" s="418">
        <f t="shared" si="7"/>
        <v>1.1812499999999999</v>
      </c>
      <c r="H15" s="418">
        <f t="shared" si="7"/>
        <v>1.1812499999999999</v>
      </c>
      <c r="I15" s="418">
        <f t="shared" si="7"/>
        <v>1.1812499999999999</v>
      </c>
      <c r="J15" s="418">
        <f t="shared" si="7"/>
        <v>1.1812499999999999</v>
      </c>
      <c r="K15" s="418">
        <f t="shared" si="7"/>
        <v>1.1812499999999999</v>
      </c>
      <c r="L15" s="418">
        <f t="shared" si="7"/>
        <v>1.1812499999999999</v>
      </c>
      <c r="M15" s="374"/>
    </row>
    <row r="16" spans="1:17" ht="16.5" thickBot="1">
      <c r="A16" s="365"/>
      <c r="B16" s="419" t="s">
        <v>199</v>
      </c>
      <c r="C16" s="420"/>
      <c r="D16" s="420"/>
      <c r="E16" s="420"/>
      <c r="F16" s="420">
        <v>20</v>
      </c>
      <c r="G16" s="420">
        <v>20</v>
      </c>
      <c r="H16" s="420">
        <v>20</v>
      </c>
      <c r="I16" s="420">
        <v>20</v>
      </c>
      <c r="J16" s="420">
        <v>20</v>
      </c>
      <c r="K16" s="420">
        <v>20</v>
      </c>
      <c r="L16" s="420">
        <v>20</v>
      </c>
      <c r="M16" s="421"/>
    </row>
    <row r="17" spans="1:13">
      <c r="A17" s="422" t="s">
        <v>156</v>
      </c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4"/>
    </row>
    <row r="18" spans="1:13">
      <c r="A18" s="402"/>
      <c r="B18" s="403"/>
      <c r="C18" s="404" t="s">
        <v>55</v>
      </c>
      <c r="D18" s="404">
        <v>2010</v>
      </c>
      <c r="E18" s="404">
        <v>2015</v>
      </c>
      <c r="F18" s="404">
        <v>2020</v>
      </c>
      <c r="G18" s="405">
        <v>2025</v>
      </c>
      <c r="H18" s="405">
        <v>2030</v>
      </c>
      <c r="I18" s="405">
        <v>2035</v>
      </c>
      <c r="J18" s="405">
        <v>2040</v>
      </c>
      <c r="K18" s="405">
        <v>2045</v>
      </c>
      <c r="L18" s="406">
        <v>2050</v>
      </c>
      <c r="M18" s="407"/>
    </row>
    <row r="19" spans="1:13">
      <c r="A19" s="360">
        <v>1</v>
      </c>
      <c r="B19" s="213" t="s">
        <v>59</v>
      </c>
      <c r="C19" s="213" t="s">
        <v>133</v>
      </c>
      <c r="D19" s="213"/>
      <c r="E19" s="214"/>
      <c r="F19" s="214"/>
      <c r="G19" s="214"/>
      <c r="H19" s="214"/>
      <c r="I19" s="214"/>
      <c r="J19" s="214"/>
      <c r="K19" s="214"/>
      <c r="L19" s="215"/>
      <c r="M19" s="409"/>
    </row>
    <row r="20" spans="1:13">
      <c r="A20" s="360">
        <v>20</v>
      </c>
      <c r="B20" s="217" t="s">
        <v>61</v>
      </c>
      <c r="C20" s="218" t="s">
        <v>133</v>
      </c>
      <c r="D20" s="218"/>
      <c r="E20" s="219">
        <f t="shared" ref="E20:L20" si="8">SUM(E27:E28)</f>
        <v>15</v>
      </c>
      <c r="F20" s="219">
        <f t="shared" si="8"/>
        <v>15</v>
      </c>
      <c r="G20" s="219">
        <f t="shared" si="8"/>
        <v>18.407882283681946</v>
      </c>
      <c r="H20" s="219">
        <f t="shared" si="8"/>
        <v>6714.2157701779506</v>
      </c>
      <c r="I20" s="219">
        <f t="shared" si="8"/>
        <v>6730.9574714100809</v>
      </c>
      <c r="J20" s="219">
        <f t="shared" si="8"/>
        <v>6747.6991726422102</v>
      </c>
      <c r="K20" s="219">
        <f t="shared" si="8"/>
        <v>6764.4408738743405</v>
      </c>
      <c r="L20" s="220">
        <f t="shared" si="8"/>
        <v>6781.1825751064707</v>
      </c>
      <c r="M20" s="410"/>
    </row>
    <row r="21" spans="1:13">
      <c r="A21" s="360">
        <v>7</v>
      </c>
      <c r="B21" s="411" t="s">
        <v>141</v>
      </c>
      <c r="C21" s="229" t="s">
        <v>133</v>
      </c>
      <c r="D21" s="229"/>
      <c r="E21" s="230">
        <f>SUM(E22:E24)</f>
        <v>0</v>
      </c>
      <c r="F21" s="230">
        <f t="shared" ref="F21:L21" si="9">SUM(F22:F24)</f>
        <v>0</v>
      </c>
      <c r="G21" s="230">
        <f t="shared" si="9"/>
        <v>0</v>
      </c>
      <c r="H21" s="230">
        <f t="shared" si="9"/>
        <v>0</v>
      </c>
      <c r="I21" s="230">
        <f t="shared" si="9"/>
        <v>0</v>
      </c>
      <c r="J21" s="230">
        <f t="shared" si="9"/>
        <v>0</v>
      </c>
      <c r="K21" s="230">
        <f t="shared" si="9"/>
        <v>0</v>
      </c>
      <c r="L21" s="230">
        <f t="shared" si="9"/>
        <v>0</v>
      </c>
      <c r="M21" s="412"/>
    </row>
    <row r="22" spans="1:13">
      <c r="A22" s="360"/>
      <c r="B22" s="413"/>
      <c r="C22" s="229" t="s">
        <v>133</v>
      </c>
      <c r="D22" s="229"/>
      <c r="E22" s="230"/>
      <c r="F22" s="230"/>
      <c r="G22" s="230"/>
      <c r="H22" s="230"/>
      <c r="I22" s="230"/>
      <c r="J22" s="230"/>
      <c r="K22" s="230"/>
      <c r="L22" s="230"/>
      <c r="M22" s="412"/>
    </row>
    <row r="23" spans="1:13">
      <c r="A23" s="360"/>
      <c r="B23" s="411"/>
      <c r="C23" s="229" t="s">
        <v>133</v>
      </c>
      <c r="D23" s="229"/>
      <c r="E23" s="230"/>
      <c r="F23" s="230"/>
      <c r="G23" s="230"/>
      <c r="H23" s="230"/>
      <c r="I23" s="230"/>
      <c r="J23" s="230"/>
      <c r="K23" s="230"/>
      <c r="L23" s="230"/>
      <c r="M23" s="412"/>
    </row>
    <row r="24" spans="1:13">
      <c r="A24" s="360"/>
      <c r="B24" s="411"/>
      <c r="C24" s="229" t="s">
        <v>133</v>
      </c>
      <c r="D24" s="229"/>
      <c r="E24" s="230"/>
      <c r="F24" s="230"/>
      <c r="G24" s="230"/>
      <c r="H24" s="230"/>
      <c r="I24" s="230"/>
      <c r="J24" s="230"/>
      <c r="K24" s="230"/>
      <c r="L24" s="230"/>
      <c r="M24" s="412"/>
    </row>
    <row r="25" spans="1:13">
      <c r="A25" s="360">
        <v>16</v>
      </c>
      <c r="B25" s="213" t="s">
        <v>144</v>
      </c>
      <c r="C25" s="213" t="s">
        <v>133</v>
      </c>
      <c r="D25" s="213"/>
      <c r="E25" s="214">
        <f t="shared" ref="E25:L25" si="10">SUM(E27:E33)</f>
        <v>60.134500000000003</v>
      </c>
      <c r="F25" s="214">
        <f t="shared" si="10"/>
        <v>60.134500000000003</v>
      </c>
      <c r="G25" s="214">
        <f t="shared" si="10"/>
        <v>63.542382283681945</v>
      </c>
      <c r="H25" s="214">
        <f t="shared" si="10"/>
        <v>6759.3502701779507</v>
      </c>
      <c r="I25" s="214">
        <f t="shared" si="10"/>
        <v>6776.091971410081</v>
      </c>
      <c r="J25" s="214">
        <f t="shared" si="10"/>
        <v>6792.8336726422103</v>
      </c>
      <c r="K25" s="214">
        <f t="shared" si="10"/>
        <v>6809.5753738743406</v>
      </c>
      <c r="L25" s="214">
        <f t="shared" si="10"/>
        <v>6826.3170751064708</v>
      </c>
      <c r="M25" s="409"/>
    </row>
    <row r="26" spans="1:13">
      <c r="A26" s="360">
        <v>20</v>
      </c>
      <c r="B26" s="217" t="s">
        <v>61</v>
      </c>
      <c r="C26" s="218" t="s">
        <v>133</v>
      </c>
      <c r="D26" s="218"/>
      <c r="E26" s="219">
        <f>SUM(E27:E28)</f>
        <v>15</v>
      </c>
      <c r="F26" s="219">
        <f t="shared" ref="F26:L26" si="11">SUM(F27:F28)</f>
        <v>15</v>
      </c>
      <c r="G26" s="219">
        <f t="shared" si="11"/>
        <v>18.407882283681946</v>
      </c>
      <c r="H26" s="219">
        <f t="shared" si="11"/>
        <v>6714.2157701779506</v>
      </c>
      <c r="I26" s="219">
        <f t="shared" si="11"/>
        <v>6730.9574714100809</v>
      </c>
      <c r="J26" s="219">
        <f t="shared" si="11"/>
        <v>6747.6991726422102</v>
      </c>
      <c r="K26" s="219">
        <f t="shared" si="11"/>
        <v>6764.4408738743405</v>
      </c>
      <c r="L26" s="220">
        <f t="shared" si="11"/>
        <v>6781.1825751064707</v>
      </c>
      <c r="M26" s="410"/>
    </row>
    <row r="27" spans="1:13">
      <c r="A27" s="360">
        <v>21</v>
      </c>
      <c r="B27" s="227" t="s">
        <v>139</v>
      </c>
      <c r="C27" s="223" t="s">
        <v>133</v>
      </c>
      <c r="D27" s="223"/>
      <c r="E27" s="234"/>
      <c r="F27" s="234"/>
      <c r="G27" s="225">
        <v>3.3</v>
      </c>
      <c r="H27" s="225">
        <f>$G27*STREAM!F123</f>
        <v>6699</v>
      </c>
      <c r="I27" s="225">
        <f>$G27*STREAM!G123</f>
        <v>6715.5</v>
      </c>
      <c r="J27" s="225">
        <f>$G27*STREAM!H123</f>
        <v>6732</v>
      </c>
      <c r="K27" s="225">
        <f>$G27*STREAM!I123</f>
        <v>6748.5</v>
      </c>
      <c r="L27" s="225">
        <f>$G27*STREAM!J123</f>
        <v>6765</v>
      </c>
      <c r="M27" s="414"/>
    </row>
    <row r="28" spans="1:13">
      <c r="A28" s="360">
        <v>22</v>
      </c>
      <c r="B28" s="227" t="s">
        <v>149</v>
      </c>
      <c r="C28" s="223" t="s">
        <v>133</v>
      </c>
      <c r="D28" s="223"/>
      <c r="E28" s="224">
        <v>15</v>
      </c>
      <c r="F28" s="224">
        <v>15</v>
      </c>
      <c r="G28" s="225">
        <f>$F12*STREAM!E107</f>
        <v>15.107882283681946</v>
      </c>
      <c r="H28" s="225">
        <f>$F12*STREAM!F107</f>
        <v>15.215770177950601</v>
      </c>
      <c r="I28" s="225">
        <f>$F12*STREAM!G107</f>
        <v>15.457471410080554</v>
      </c>
      <c r="J28" s="225">
        <f>$F12*STREAM!H107</f>
        <v>15.699172642210504</v>
      </c>
      <c r="K28" s="225">
        <f>$F12*STREAM!I107</f>
        <v>15.940873874340456</v>
      </c>
      <c r="L28" s="225">
        <f>$F12*STREAM!J107</f>
        <v>16.182575106470406</v>
      </c>
      <c r="M28" s="415"/>
    </row>
    <row r="29" spans="1:13">
      <c r="A29" s="360">
        <v>10</v>
      </c>
      <c r="B29" s="227" t="s">
        <v>172</v>
      </c>
      <c r="C29" s="223" t="s">
        <v>133</v>
      </c>
      <c r="D29" s="223">
        <f>SUM(D30:D33)</f>
        <v>0</v>
      </c>
      <c r="E29" s="223">
        <f t="shared" ref="E29:L29" si="12">SUM(E30:E33)</f>
        <v>22.567250000000001</v>
      </c>
      <c r="F29" s="223">
        <f t="shared" si="12"/>
        <v>22.567250000000001</v>
      </c>
      <c r="G29" s="223">
        <f t="shared" si="12"/>
        <v>22.567250000000001</v>
      </c>
      <c r="H29" s="223">
        <f t="shared" si="12"/>
        <v>22.567250000000001</v>
      </c>
      <c r="I29" s="223">
        <f t="shared" si="12"/>
        <v>22.567250000000001</v>
      </c>
      <c r="J29" s="223">
        <f t="shared" si="12"/>
        <v>22.567250000000001</v>
      </c>
      <c r="K29" s="223">
        <f t="shared" si="12"/>
        <v>22.567250000000001</v>
      </c>
      <c r="L29" s="223">
        <f t="shared" si="12"/>
        <v>22.567250000000001</v>
      </c>
      <c r="M29" s="412"/>
    </row>
    <row r="30" spans="1:13">
      <c r="A30" s="360"/>
      <c r="B30" s="416" t="s">
        <v>197</v>
      </c>
      <c r="C30" s="417"/>
      <c r="D30" s="417"/>
      <c r="E30" s="418">
        <f>132*0.42/40</f>
        <v>1.3859999999999999</v>
      </c>
      <c r="F30" s="418">
        <f t="shared" ref="F30:L30" si="13">132*0.42/40</f>
        <v>1.3859999999999999</v>
      </c>
      <c r="G30" s="418">
        <f t="shared" si="13"/>
        <v>1.3859999999999999</v>
      </c>
      <c r="H30" s="418">
        <f t="shared" si="13"/>
        <v>1.3859999999999999</v>
      </c>
      <c r="I30" s="418">
        <f t="shared" si="13"/>
        <v>1.3859999999999999</v>
      </c>
      <c r="J30" s="418">
        <f t="shared" si="13"/>
        <v>1.3859999999999999</v>
      </c>
      <c r="K30" s="418">
        <f t="shared" si="13"/>
        <v>1.3859999999999999</v>
      </c>
      <c r="L30" s="418">
        <f t="shared" si="13"/>
        <v>1.3859999999999999</v>
      </c>
      <c r="M30" s="374"/>
    </row>
    <row r="31" spans="1:13">
      <c r="A31" s="360"/>
      <c r="B31" s="416" t="s">
        <v>198</v>
      </c>
      <c r="C31" s="417"/>
      <c r="D31" s="417"/>
      <c r="E31" s="418">
        <f>112.5*0.42/40</f>
        <v>1.1812499999999999</v>
      </c>
      <c r="F31" s="418">
        <f t="shared" ref="F31:L31" si="14">112.5*0.42/40</f>
        <v>1.1812499999999999</v>
      </c>
      <c r="G31" s="418">
        <f t="shared" si="14"/>
        <v>1.1812499999999999</v>
      </c>
      <c r="H31" s="418">
        <f t="shared" si="14"/>
        <v>1.1812499999999999</v>
      </c>
      <c r="I31" s="418">
        <f t="shared" si="14"/>
        <v>1.1812499999999999</v>
      </c>
      <c r="J31" s="418">
        <f t="shared" si="14"/>
        <v>1.1812499999999999</v>
      </c>
      <c r="K31" s="418">
        <f t="shared" si="14"/>
        <v>1.1812499999999999</v>
      </c>
      <c r="L31" s="418">
        <f t="shared" si="14"/>
        <v>1.1812499999999999</v>
      </c>
      <c r="M31" s="374"/>
    </row>
    <row r="32" spans="1:13" ht="16.5" thickBot="1">
      <c r="A32" s="365"/>
      <c r="B32" s="419" t="s">
        <v>199</v>
      </c>
      <c r="C32" s="420"/>
      <c r="D32" s="420"/>
      <c r="E32" s="420">
        <v>20</v>
      </c>
      <c r="F32" s="420">
        <v>20</v>
      </c>
      <c r="G32" s="420">
        <v>20</v>
      </c>
      <c r="H32" s="420">
        <v>20</v>
      </c>
      <c r="I32" s="420">
        <v>20</v>
      </c>
      <c r="J32" s="420">
        <v>20</v>
      </c>
      <c r="K32" s="420">
        <v>20</v>
      </c>
      <c r="L32" s="420">
        <v>20</v>
      </c>
      <c r="M32" s="421"/>
    </row>
    <row r="33" spans="1:13">
      <c r="A33" s="425" t="s">
        <v>166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7"/>
    </row>
    <row r="34" spans="1:13">
      <c r="A34" s="402"/>
      <c r="B34" s="403"/>
      <c r="C34" s="404" t="s">
        <v>55</v>
      </c>
      <c r="D34" s="404">
        <v>2010</v>
      </c>
      <c r="E34" s="404">
        <v>2015</v>
      </c>
      <c r="F34" s="404">
        <v>2020</v>
      </c>
      <c r="G34" s="405">
        <v>2025</v>
      </c>
      <c r="H34" s="405">
        <v>2030</v>
      </c>
      <c r="I34" s="405">
        <v>2035</v>
      </c>
      <c r="J34" s="405">
        <v>2040</v>
      </c>
      <c r="K34" s="405">
        <v>2045</v>
      </c>
      <c r="L34" s="406">
        <v>2050</v>
      </c>
      <c r="M34" s="407"/>
    </row>
    <row r="35" spans="1:13">
      <c r="A35" s="360">
        <v>1</v>
      </c>
      <c r="B35" s="213" t="s">
        <v>59</v>
      </c>
      <c r="C35" s="213" t="s">
        <v>133</v>
      </c>
      <c r="D35" s="213"/>
      <c r="E35" s="214"/>
      <c r="F35" s="214"/>
      <c r="G35" s="214"/>
      <c r="H35" s="214"/>
      <c r="I35" s="214"/>
      <c r="J35" s="214"/>
      <c r="K35" s="214"/>
      <c r="L35" s="215"/>
      <c r="M35" s="409"/>
    </row>
    <row r="36" spans="1:13">
      <c r="A36" s="360">
        <v>20</v>
      </c>
      <c r="B36" s="217" t="s">
        <v>61</v>
      </c>
      <c r="C36" s="218" t="s">
        <v>133</v>
      </c>
      <c r="D36" s="218"/>
      <c r="E36" s="219">
        <f t="shared" ref="E36:L36" si="15">SUM(E43:E44)</f>
        <v>15</v>
      </c>
      <c r="F36" s="219">
        <f t="shared" si="15"/>
        <v>15</v>
      </c>
      <c r="G36" s="219">
        <f t="shared" si="15"/>
        <v>30378.3</v>
      </c>
      <c r="H36" s="219">
        <f t="shared" si="15"/>
        <v>30460.175697521547</v>
      </c>
      <c r="I36" s="219">
        <f t="shared" si="15"/>
        <v>30535.141574260935</v>
      </c>
      <c r="J36" s="219">
        <f t="shared" si="15"/>
        <v>30610.107451000327</v>
      </c>
      <c r="K36" s="219">
        <f t="shared" si="15"/>
        <v>30685.073327739716</v>
      </c>
      <c r="L36" s="220">
        <f t="shared" si="15"/>
        <v>30760.039204479104</v>
      </c>
      <c r="M36" s="410"/>
    </row>
    <row r="37" spans="1:13">
      <c r="A37" s="360">
        <v>7</v>
      </c>
      <c r="B37" s="411" t="s">
        <v>141</v>
      </c>
      <c r="C37" s="229" t="s">
        <v>133</v>
      </c>
      <c r="D37" s="229"/>
      <c r="E37" s="230">
        <f>SUM(E38:E40)</f>
        <v>0</v>
      </c>
      <c r="F37" s="230">
        <f t="shared" ref="F37:L37" si="16">SUM(F38:F40)</f>
        <v>5</v>
      </c>
      <c r="G37" s="230">
        <f t="shared" si="16"/>
        <v>5</v>
      </c>
      <c r="H37" s="230">
        <f t="shared" si="16"/>
        <v>5</v>
      </c>
      <c r="I37" s="230">
        <f t="shared" si="16"/>
        <v>5</v>
      </c>
      <c r="J37" s="230">
        <f t="shared" si="16"/>
        <v>5</v>
      </c>
      <c r="K37" s="230">
        <f t="shared" si="16"/>
        <v>5</v>
      </c>
      <c r="L37" s="230">
        <f t="shared" si="16"/>
        <v>5</v>
      </c>
      <c r="M37" s="412"/>
    </row>
    <row r="38" spans="1:13">
      <c r="A38" s="360"/>
      <c r="B38" s="413" t="s">
        <v>196</v>
      </c>
      <c r="C38" s="229" t="s">
        <v>133</v>
      </c>
      <c r="D38" s="229"/>
      <c r="E38" s="230"/>
      <c r="F38" s="230">
        <f>200/40</f>
        <v>5</v>
      </c>
      <c r="G38" s="230">
        <f t="shared" ref="G38:L38" si="17">200/40</f>
        <v>5</v>
      </c>
      <c r="H38" s="230">
        <f t="shared" si="17"/>
        <v>5</v>
      </c>
      <c r="I38" s="230">
        <f t="shared" si="17"/>
        <v>5</v>
      </c>
      <c r="J38" s="230">
        <f t="shared" si="17"/>
        <v>5</v>
      </c>
      <c r="K38" s="230">
        <f t="shared" si="17"/>
        <v>5</v>
      </c>
      <c r="L38" s="230">
        <f t="shared" si="17"/>
        <v>5</v>
      </c>
      <c r="M38" s="412"/>
    </row>
    <row r="39" spans="1:13">
      <c r="A39" s="360"/>
      <c r="B39" s="413"/>
      <c r="C39" s="229" t="s">
        <v>133</v>
      </c>
      <c r="D39" s="229"/>
      <c r="E39" s="230"/>
      <c r="F39" s="230"/>
      <c r="G39" s="230"/>
      <c r="H39" s="230"/>
      <c r="I39" s="230"/>
      <c r="J39" s="230"/>
      <c r="K39" s="230"/>
      <c r="L39" s="230"/>
      <c r="M39" s="412"/>
    </row>
    <row r="40" spans="1:13">
      <c r="A40" s="360"/>
      <c r="B40" s="411"/>
      <c r="C40" s="229" t="s">
        <v>133</v>
      </c>
      <c r="D40" s="229"/>
      <c r="E40" s="230"/>
      <c r="F40" s="230"/>
      <c r="G40" s="230"/>
      <c r="H40" s="230"/>
      <c r="I40" s="230"/>
      <c r="J40" s="230"/>
      <c r="K40" s="230"/>
      <c r="L40" s="230"/>
      <c r="M40" s="412"/>
    </row>
    <row r="41" spans="1:13">
      <c r="A41" s="360">
        <v>16</v>
      </c>
      <c r="B41" s="213" t="s">
        <v>144</v>
      </c>
      <c r="C41" s="213" t="s">
        <v>133</v>
      </c>
      <c r="D41" s="213"/>
      <c r="E41" s="214">
        <f t="shared" ref="E41:L41" si="18">SUM(E43:E49)</f>
        <v>60.134500000000003</v>
      </c>
      <c r="F41" s="214">
        <f t="shared" si="18"/>
        <v>60.134500000000003</v>
      </c>
      <c r="G41" s="214">
        <f t="shared" si="18"/>
        <v>30423.434499999999</v>
      </c>
      <c r="H41" s="214">
        <f t="shared" si="18"/>
        <v>30505.310197521547</v>
      </c>
      <c r="I41" s="214">
        <f t="shared" si="18"/>
        <v>30580.276074260935</v>
      </c>
      <c r="J41" s="214">
        <f t="shared" si="18"/>
        <v>30655.241951000327</v>
      </c>
      <c r="K41" s="214">
        <f t="shared" si="18"/>
        <v>30730.207827739716</v>
      </c>
      <c r="L41" s="214">
        <f t="shared" si="18"/>
        <v>30805.173704479104</v>
      </c>
      <c r="M41" s="409"/>
    </row>
    <row r="42" spans="1:13">
      <c r="A42" s="360">
        <v>20</v>
      </c>
      <c r="B42" s="217" t="s">
        <v>61</v>
      </c>
      <c r="C42" s="218" t="s">
        <v>133</v>
      </c>
      <c r="D42" s="218"/>
      <c r="E42" s="219">
        <f>SUM(E43:E44)</f>
        <v>15</v>
      </c>
      <c r="F42" s="219">
        <f t="shared" ref="F42:L42" si="19">SUM(F43:F44)</f>
        <v>15</v>
      </c>
      <c r="G42" s="219">
        <f t="shared" si="19"/>
        <v>30378.3</v>
      </c>
      <c r="H42" s="219">
        <f t="shared" si="19"/>
        <v>30460.175697521547</v>
      </c>
      <c r="I42" s="219">
        <f t="shared" si="19"/>
        <v>30535.141574260935</v>
      </c>
      <c r="J42" s="219">
        <f t="shared" si="19"/>
        <v>30610.107451000327</v>
      </c>
      <c r="K42" s="219">
        <f t="shared" si="19"/>
        <v>30685.073327739716</v>
      </c>
      <c r="L42" s="220">
        <f t="shared" si="19"/>
        <v>30760.039204479104</v>
      </c>
      <c r="M42" s="410"/>
    </row>
    <row r="43" spans="1:13">
      <c r="A43" s="360">
        <v>21</v>
      </c>
      <c r="B43" s="227" t="s">
        <v>139</v>
      </c>
      <c r="C43" s="223" t="s">
        <v>133</v>
      </c>
      <c r="D43" s="223"/>
      <c r="E43" s="234"/>
      <c r="F43" s="234"/>
      <c r="G43" s="225">
        <v>3.3</v>
      </c>
      <c r="H43" s="225">
        <f>$G43*STREAM!F139</f>
        <v>10.175697521547107</v>
      </c>
      <c r="I43" s="225">
        <f>$G43*STREAM!G139</f>
        <v>10.14157426093645</v>
      </c>
      <c r="J43" s="225">
        <f>$G43*STREAM!H139</f>
        <v>10.107451000325792</v>
      </c>
      <c r="K43" s="225">
        <f>$G43*STREAM!I139</f>
        <v>10.073327739715133</v>
      </c>
      <c r="L43" s="225">
        <f>$G43*STREAM!J139</f>
        <v>10.039204479104473</v>
      </c>
      <c r="M43" s="414"/>
    </row>
    <row r="44" spans="1:13">
      <c r="A44" s="360">
        <v>22</v>
      </c>
      <c r="B44" s="227" t="s">
        <v>149</v>
      </c>
      <c r="C44" s="223" t="s">
        <v>133</v>
      </c>
      <c r="D44" s="223"/>
      <c r="E44" s="224">
        <v>15</v>
      </c>
      <c r="F44" s="224">
        <v>15</v>
      </c>
      <c r="G44" s="225">
        <f>$F28*STREAM!E123</f>
        <v>30375</v>
      </c>
      <c r="H44" s="225">
        <f>$F28*STREAM!F123</f>
        <v>30450</v>
      </c>
      <c r="I44" s="225">
        <f>$F28*STREAM!G123</f>
        <v>30525</v>
      </c>
      <c r="J44" s="225">
        <f>$F28*STREAM!H123</f>
        <v>30600</v>
      </c>
      <c r="K44" s="225">
        <f>$F28*STREAM!I123</f>
        <v>30675</v>
      </c>
      <c r="L44" s="225">
        <f>$F28*STREAM!J123</f>
        <v>30750</v>
      </c>
      <c r="M44" s="415"/>
    </row>
    <row r="45" spans="1:13">
      <c r="A45" s="360">
        <v>10</v>
      </c>
      <c r="B45" s="227" t="s">
        <v>172</v>
      </c>
      <c r="C45" s="223" t="s">
        <v>133</v>
      </c>
      <c r="D45" s="223">
        <f>SUM(D46:D49)</f>
        <v>0</v>
      </c>
      <c r="E45" s="223">
        <f t="shared" ref="E45:L45" si="20">SUM(E46:E49)</f>
        <v>22.567250000000001</v>
      </c>
      <c r="F45" s="223">
        <f t="shared" si="20"/>
        <v>22.567250000000001</v>
      </c>
      <c r="G45" s="223">
        <f t="shared" si="20"/>
        <v>22.567250000000001</v>
      </c>
      <c r="H45" s="223">
        <f t="shared" si="20"/>
        <v>22.567250000000001</v>
      </c>
      <c r="I45" s="223">
        <f t="shared" si="20"/>
        <v>22.567250000000001</v>
      </c>
      <c r="J45" s="223">
        <f t="shared" si="20"/>
        <v>22.567250000000001</v>
      </c>
      <c r="K45" s="223">
        <f t="shared" si="20"/>
        <v>22.567250000000001</v>
      </c>
      <c r="L45" s="223">
        <f t="shared" si="20"/>
        <v>22.567250000000001</v>
      </c>
      <c r="M45" s="412"/>
    </row>
    <row r="46" spans="1:13">
      <c r="A46" s="360"/>
      <c r="B46" s="416" t="s">
        <v>197</v>
      </c>
      <c r="C46" s="417"/>
      <c r="D46" s="417"/>
      <c r="E46" s="418">
        <f>132*0.42/40</f>
        <v>1.3859999999999999</v>
      </c>
      <c r="F46" s="418">
        <f t="shared" ref="F46:L46" si="21">132*0.42/40</f>
        <v>1.3859999999999999</v>
      </c>
      <c r="G46" s="418">
        <f t="shared" si="21"/>
        <v>1.3859999999999999</v>
      </c>
      <c r="H46" s="418">
        <f t="shared" si="21"/>
        <v>1.3859999999999999</v>
      </c>
      <c r="I46" s="418">
        <f t="shared" si="21"/>
        <v>1.3859999999999999</v>
      </c>
      <c r="J46" s="418">
        <f t="shared" si="21"/>
        <v>1.3859999999999999</v>
      </c>
      <c r="K46" s="418">
        <f t="shared" si="21"/>
        <v>1.3859999999999999</v>
      </c>
      <c r="L46" s="418">
        <f t="shared" si="21"/>
        <v>1.3859999999999999</v>
      </c>
      <c r="M46" s="374"/>
    </row>
    <row r="47" spans="1:13">
      <c r="A47" s="360"/>
      <c r="B47" s="416" t="s">
        <v>198</v>
      </c>
      <c r="C47" s="417"/>
      <c r="D47" s="417"/>
      <c r="E47" s="418">
        <f>112.5*0.42/40</f>
        <v>1.1812499999999999</v>
      </c>
      <c r="F47" s="418">
        <f t="shared" ref="F47:L47" si="22">112.5*0.42/40</f>
        <v>1.1812499999999999</v>
      </c>
      <c r="G47" s="418">
        <f t="shared" si="22"/>
        <v>1.1812499999999999</v>
      </c>
      <c r="H47" s="418">
        <f t="shared" si="22"/>
        <v>1.1812499999999999</v>
      </c>
      <c r="I47" s="418">
        <f t="shared" si="22"/>
        <v>1.1812499999999999</v>
      </c>
      <c r="J47" s="418">
        <f t="shared" si="22"/>
        <v>1.1812499999999999</v>
      </c>
      <c r="K47" s="418">
        <f t="shared" si="22"/>
        <v>1.1812499999999999</v>
      </c>
      <c r="L47" s="418">
        <f t="shared" si="22"/>
        <v>1.1812499999999999</v>
      </c>
      <c r="M47" s="374"/>
    </row>
    <row r="48" spans="1:13" ht="16.5" thickBot="1">
      <c r="A48" s="365"/>
      <c r="B48" s="419" t="s">
        <v>199</v>
      </c>
      <c r="C48" s="420"/>
      <c r="D48" s="420"/>
      <c r="E48" s="420">
        <v>20</v>
      </c>
      <c r="F48" s="420">
        <v>20</v>
      </c>
      <c r="G48" s="420">
        <v>20</v>
      </c>
      <c r="H48" s="420">
        <v>20</v>
      </c>
      <c r="I48" s="420">
        <v>20</v>
      </c>
      <c r="J48" s="420">
        <v>20</v>
      </c>
      <c r="K48" s="420">
        <v>20</v>
      </c>
      <c r="L48" s="420">
        <v>20</v>
      </c>
      <c r="M48" s="421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3:E10"/>
  <sheetViews>
    <sheetView workbookViewId="0">
      <selection activeCell="L17" sqref="L17"/>
    </sheetView>
  </sheetViews>
  <sheetFormatPr defaultColWidth="8.85546875" defaultRowHeight="12.75"/>
  <sheetData>
    <row r="3" spans="1:5">
      <c r="A3" s="834" t="s">
        <v>389</v>
      </c>
      <c r="B3" s="834"/>
      <c r="C3" s="834"/>
      <c r="D3" s="834"/>
      <c r="E3" s="834"/>
    </row>
    <row r="4" spans="1:5">
      <c r="A4" s="835" t="s">
        <v>390</v>
      </c>
      <c r="B4" s="836"/>
      <c r="C4" s="836" t="s">
        <v>391</v>
      </c>
      <c r="D4" s="837" t="s">
        <v>392</v>
      </c>
      <c r="E4" s="838" t="s">
        <v>393</v>
      </c>
    </row>
    <row r="5" spans="1:5">
      <c r="A5" s="839">
        <v>2010</v>
      </c>
      <c r="B5" s="840"/>
      <c r="C5" s="841">
        <v>7</v>
      </c>
      <c r="D5" s="842">
        <v>25</v>
      </c>
      <c r="E5" s="843" t="s">
        <v>394</v>
      </c>
    </row>
    <row r="6" spans="1:5">
      <c r="A6" s="839">
        <v>2020</v>
      </c>
      <c r="B6" s="840"/>
      <c r="C6" s="841" t="s">
        <v>395</v>
      </c>
      <c r="D6" s="842">
        <v>40</v>
      </c>
      <c r="E6" s="843" t="s">
        <v>396</v>
      </c>
    </row>
    <row r="7" spans="1:5">
      <c r="A7" s="839">
        <v>2030</v>
      </c>
      <c r="B7" s="840"/>
      <c r="C7" s="841" t="s">
        <v>397</v>
      </c>
      <c r="D7" s="842">
        <v>55</v>
      </c>
      <c r="E7" s="843" t="s">
        <v>398</v>
      </c>
    </row>
    <row r="8" spans="1:5">
      <c r="A8" s="839">
        <v>2040</v>
      </c>
      <c r="B8" s="840"/>
      <c r="C8" s="841" t="s">
        <v>397</v>
      </c>
      <c r="D8" s="842">
        <v>70</v>
      </c>
      <c r="E8" s="843" t="s">
        <v>399</v>
      </c>
    </row>
    <row r="9" spans="1:5">
      <c r="A9" s="844">
        <v>2050</v>
      </c>
      <c r="B9" s="845"/>
      <c r="C9" s="846" t="s">
        <v>400</v>
      </c>
      <c r="D9" s="847">
        <v>85</v>
      </c>
      <c r="E9" s="848" t="s">
        <v>401</v>
      </c>
    </row>
    <row r="10" spans="1:5">
      <c r="A10" s="849" t="s">
        <v>402</v>
      </c>
      <c r="B10" s="850"/>
      <c r="C10" s="850"/>
      <c r="D10" s="850"/>
      <c r="E10" s="8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L84"/>
  <sheetViews>
    <sheetView zoomScale="75" zoomScaleNormal="75" zoomScalePageLayoutView="75" workbookViewId="0">
      <pane xSplit="2" ySplit="4" topLeftCell="C5" activePane="bottomRight" state="frozen"/>
      <selection activeCell="U54" sqref="U54:X56"/>
      <selection pane="topRight" activeCell="U54" sqref="U54:X56"/>
      <selection pane="bottomLeft" activeCell="U54" sqref="U54:X56"/>
      <selection pane="bottomRight" activeCell="J23" sqref="J23"/>
    </sheetView>
  </sheetViews>
  <sheetFormatPr defaultColWidth="8.85546875" defaultRowHeight="15"/>
  <cols>
    <col min="1" max="1" width="1.42578125" style="125" customWidth="1"/>
    <col min="2" max="2" width="34.28515625" style="125" customWidth="1"/>
    <col min="3" max="3" width="7.140625" style="686" customWidth="1"/>
    <col min="4" max="4" width="10" style="125" customWidth="1"/>
    <col min="5" max="9" width="11" style="125" customWidth="1"/>
    <col min="10" max="14" width="11.42578125" style="186" customWidth="1"/>
    <col min="15" max="15" width="10.85546875" style="125" bestFit="1" customWidth="1"/>
    <col min="16" max="19" width="10.85546875" style="125" customWidth="1"/>
    <col min="20" max="20" width="11.28515625" style="186" customWidth="1"/>
    <col min="21" max="21" width="10.85546875" style="125" bestFit="1" customWidth="1"/>
    <col min="22" max="22" width="11.42578125" style="724" bestFit="1" customWidth="1"/>
    <col min="23" max="24" width="10.85546875" style="724" bestFit="1" customWidth="1"/>
    <col min="25" max="25" width="6.140625" style="125" customWidth="1"/>
    <col min="26" max="16384" width="8.85546875" style="125"/>
  </cols>
  <sheetData>
    <row r="1" spans="1:38">
      <c r="B1" s="432"/>
    </row>
    <row r="2" spans="1:38">
      <c r="B2" s="462" t="s">
        <v>74</v>
      </c>
      <c r="J2" s="125"/>
      <c r="K2" s="125"/>
      <c r="L2" s="125"/>
      <c r="M2" s="125"/>
      <c r="N2" s="125"/>
      <c r="T2" s="125"/>
    </row>
    <row r="3" spans="1:38" ht="15.75" thickBot="1">
      <c r="B3" s="432"/>
      <c r="C3" s="687"/>
      <c r="J3" s="125"/>
      <c r="K3" s="125"/>
      <c r="L3" s="125"/>
      <c r="M3" s="125"/>
      <c r="N3" s="125"/>
      <c r="T3" s="125"/>
    </row>
    <row r="4" spans="1:38" ht="15.75" thickBot="1">
      <c r="B4" s="463"/>
      <c r="C4" s="688" t="s">
        <v>55</v>
      </c>
      <c r="D4" s="667">
        <v>2010</v>
      </c>
      <c r="E4" s="667">
        <v>2015</v>
      </c>
      <c r="F4" s="667">
        <v>2016</v>
      </c>
      <c r="G4" s="667">
        <v>2017</v>
      </c>
      <c r="H4" s="667">
        <v>2018</v>
      </c>
      <c r="I4" s="667">
        <v>2019</v>
      </c>
      <c r="J4" s="667">
        <v>2020</v>
      </c>
      <c r="K4" s="667">
        <v>2021</v>
      </c>
      <c r="L4" s="667">
        <v>2022</v>
      </c>
      <c r="M4" s="667">
        <v>2023</v>
      </c>
      <c r="N4" s="667">
        <v>2024</v>
      </c>
      <c r="O4" s="667">
        <v>2025</v>
      </c>
      <c r="P4" s="667">
        <v>2026</v>
      </c>
      <c r="Q4" s="667">
        <v>2027</v>
      </c>
      <c r="R4" s="667">
        <v>2028</v>
      </c>
      <c r="S4" s="667">
        <v>2029</v>
      </c>
      <c r="T4" s="667">
        <v>2030</v>
      </c>
      <c r="U4" s="667">
        <v>2035</v>
      </c>
      <c r="V4" s="725">
        <v>2040</v>
      </c>
      <c r="W4" s="725">
        <v>2045</v>
      </c>
      <c r="X4" s="725">
        <v>2050</v>
      </c>
      <c r="Y4" s="667"/>
      <c r="Z4" s="667" t="s">
        <v>55</v>
      </c>
      <c r="AA4" s="667"/>
      <c r="AB4" s="667">
        <v>2010</v>
      </c>
      <c r="AC4" s="667">
        <v>2015</v>
      </c>
      <c r="AD4" s="667">
        <v>2020</v>
      </c>
      <c r="AE4" s="667">
        <v>2025</v>
      </c>
      <c r="AF4" s="667">
        <v>2030</v>
      </c>
      <c r="AG4" s="667">
        <v>2035</v>
      </c>
      <c r="AH4" s="667">
        <v>2040</v>
      </c>
      <c r="AI4" s="667">
        <v>2045</v>
      </c>
      <c r="AJ4" s="667">
        <v>2050</v>
      </c>
      <c r="AK4" s="668"/>
      <c r="AL4" s="669"/>
    </row>
    <row r="5" spans="1:38">
      <c r="A5" s="127"/>
      <c r="B5" s="429" t="s">
        <v>56</v>
      </c>
      <c r="C5" s="689" t="s">
        <v>21</v>
      </c>
      <c r="D5" s="655"/>
      <c r="E5" s="655"/>
      <c r="F5" s="655"/>
      <c r="G5" s="655"/>
      <c r="H5" s="655"/>
      <c r="I5" s="655"/>
      <c r="J5" s="662"/>
      <c r="K5" s="662"/>
      <c r="L5" s="662"/>
      <c r="M5" s="662"/>
      <c r="N5" s="662"/>
      <c r="O5" s="655"/>
      <c r="P5" s="655"/>
      <c r="Q5" s="655"/>
      <c r="R5" s="655"/>
      <c r="S5" s="655"/>
      <c r="T5" s="662"/>
      <c r="U5" s="655"/>
      <c r="V5" s="727"/>
      <c r="W5" s="727"/>
      <c r="X5" s="727"/>
      <c r="Y5" s="655"/>
      <c r="Z5" s="655"/>
      <c r="AA5" s="655"/>
      <c r="AB5" s="655"/>
      <c r="AC5" s="655"/>
      <c r="AD5" s="655"/>
      <c r="AE5" s="655"/>
      <c r="AF5" s="655"/>
      <c r="AG5" s="655"/>
      <c r="AH5" s="655"/>
      <c r="AI5" s="655"/>
      <c r="AJ5" s="655"/>
    </row>
    <row r="6" spans="1:38">
      <c r="A6" s="127"/>
      <c r="B6" s="134" t="s">
        <v>4</v>
      </c>
      <c r="C6" s="690"/>
      <c r="D6" s="155">
        <v>228</v>
      </c>
      <c r="E6" s="155">
        <f>AVERAGE(VS_TAK!D6,VS_TAK!J6)</f>
        <v>209.4813399775885</v>
      </c>
      <c r="F6" s="155">
        <f t="shared" ref="F6:I12" si="0">$E6+($J6-$E6)/5*(F$4-$E$4)</f>
        <v>214.60782055960999</v>
      </c>
      <c r="G6" s="155">
        <f t="shared" si="0"/>
        <v>219.73430114163151</v>
      </c>
      <c r="H6" s="155">
        <f t="shared" si="0"/>
        <v>224.86078172365299</v>
      </c>
      <c r="I6" s="155">
        <f t="shared" si="0"/>
        <v>229.98726230567451</v>
      </c>
      <c r="J6" s="187">
        <f>Transpordi_kytused_maksud2020!C$40</f>
        <v>235.11374288769599</v>
      </c>
      <c r="K6" s="156">
        <f t="shared" ref="K6:N12" si="1">$J6+($O6-$J6)/5*(K$4-$J$4)</f>
        <v>319.39322280498197</v>
      </c>
      <c r="L6" s="156">
        <f t="shared" si="1"/>
        <v>403.67270272226796</v>
      </c>
      <c r="M6" s="156">
        <f t="shared" si="1"/>
        <v>487.95218263955394</v>
      </c>
      <c r="N6" s="156">
        <f t="shared" si="1"/>
        <v>572.23166255683986</v>
      </c>
      <c r="O6" s="155">
        <f t="shared" ref="O6:O13" si="2">AVERAGE(J6,T6)</f>
        <v>656.5111424741259</v>
      </c>
      <c r="P6" s="458">
        <f t="shared" ref="P6:S13" si="3">$O6+($T6-$O6)/5*(P$4-$O$4)</f>
        <v>740.79062239141194</v>
      </c>
      <c r="Q6" s="458">
        <f t="shared" si="3"/>
        <v>825.07010230869787</v>
      </c>
      <c r="R6" s="458">
        <f t="shared" si="3"/>
        <v>909.34958222598391</v>
      </c>
      <c r="S6" s="458">
        <f t="shared" si="3"/>
        <v>993.62906214326995</v>
      </c>
      <c r="T6" s="187">
        <f>Kytuste_hind_maksud2030!C41</f>
        <v>1077.9085420605559</v>
      </c>
      <c r="U6" s="155">
        <f>AVERAGE(T6,V6)</f>
        <v>1342.5133645537239</v>
      </c>
      <c r="V6" s="729">
        <f>AVERAGE(T6,X6)</f>
        <v>1607.1181870468918</v>
      </c>
      <c r="W6" s="729">
        <f>AVERAGE(U6,X6)</f>
        <v>1739.4205982934759</v>
      </c>
      <c r="X6" s="729">
        <f>Kytused2050!C$41</f>
        <v>2136.3278320332279</v>
      </c>
      <c r="Y6" s="155"/>
      <c r="Z6" s="128" t="s">
        <v>86</v>
      </c>
      <c r="AA6" s="134" t="s">
        <v>4</v>
      </c>
      <c r="AB6" s="158">
        <f>D6*0.023884</f>
        <v>5.4455520000000002</v>
      </c>
      <c r="AC6" s="158">
        <f>E6*0.023884</f>
        <v>5.0032523240247233</v>
      </c>
      <c r="AD6" s="158">
        <f t="shared" ref="AD6:AD13" si="4">J6*0.023884</f>
        <v>5.615456635129731</v>
      </c>
      <c r="AE6" s="158">
        <f t="shared" ref="AE6:AE13" si="5">O6*0.023884</f>
        <v>15.680112126852022</v>
      </c>
      <c r="AF6" s="158">
        <f t="shared" ref="AF6:AJ13" si="6">T6*0.023884</f>
        <v>25.744767618574315</v>
      </c>
      <c r="AG6" s="158">
        <f t="shared" si="6"/>
        <v>32.064589199001141</v>
      </c>
      <c r="AH6" s="158">
        <f t="shared" si="6"/>
        <v>38.384410779427959</v>
      </c>
      <c r="AI6" s="158">
        <f t="shared" si="6"/>
        <v>41.544321569641376</v>
      </c>
      <c r="AJ6" s="158">
        <f t="shared" si="6"/>
        <v>51.024053940281611</v>
      </c>
    </row>
    <row r="7" spans="1:38">
      <c r="A7" s="127"/>
      <c r="B7" s="134" t="s">
        <v>5</v>
      </c>
      <c r="C7" s="690"/>
      <c r="D7" s="155">
        <v>10501.152590001275</v>
      </c>
      <c r="E7" s="155">
        <f>AVERAGE(VS_TAK!D7,VS_TAK!J7)</f>
        <v>11429.577206539847</v>
      </c>
      <c r="F7" s="155">
        <f t="shared" ref="F7:I8" si="7">$E7+($J7-$E7)/5*(F$4-$E$4)</f>
        <v>11335.287688900362</v>
      </c>
      <c r="G7" s="155">
        <f t="shared" si="7"/>
        <v>11240.998171260877</v>
      </c>
      <c r="H7" s="155">
        <f t="shared" si="7"/>
        <v>11146.708653621394</v>
      </c>
      <c r="I7" s="155">
        <f t="shared" si="7"/>
        <v>11052.419135981909</v>
      </c>
      <c r="J7" s="187">
        <f>Transpordi_kytused_maksud2020!D$40</f>
        <v>10958.129618342424</v>
      </c>
      <c r="K7" s="156">
        <f t="shared" si="1"/>
        <v>10353.938507623165</v>
      </c>
      <c r="L7" s="156">
        <f t="shared" si="1"/>
        <v>9749.7473969039074</v>
      </c>
      <c r="M7" s="156">
        <f t="shared" si="1"/>
        <v>9145.5562861846483</v>
      </c>
      <c r="N7" s="156">
        <f t="shared" si="1"/>
        <v>8541.3651754653893</v>
      </c>
      <c r="O7" s="155">
        <f t="shared" si="2"/>
        <v>7937.1740647461311</v>
      </c>
      <c r="P7" s="458">
        <f t="shared" si="3"/>
        <v>7332.9829540268729</v>
      </c>
      <c r="Q7" s="458">
        <f t="shared" si="3"/>
        <v>6728.7918433076138</v>
      </c>
      <c r="R7" s="458">
        <f t="shared" si="3"/>
        <v>6124.6007325883556</v>
      </c>
      <c r="S7" s="458">
        <f t="shared" si="3"/>
        <v>5520.4096218690975</v>
      </c>
      <c r="T7" s="187">
        <f>Kytuste_hind_maksud2030!D41</f>
        <v>4916.2185111498384</v>
      </c>
      <c r="U7" s="155">
        <f t="shared" ref="U7:U12" si="8">AVERAGE(T7,V7)</f>
        <v>4063.2069999071387</v>
      </c>
      <c r="V7" s="729">
        <f t="shared" ref="V7:V12" si="9">AVERAGE(T7,X7)</f>
        <v>3210.1954886644389</v>
      </c>
      <c r="W7" s="729">
        <f t="shared" ref="W7:W12" si="10">AVERAGE(U7,X7)</f>
        <v>2783.6897330430893</v>
      </c>
      <c r="X7" s="729">
        <f>Kytused2050!D$41</f>
        <v>1504.1724661790395</v>
      </c>
      <c r="Y7" s="155"/>
      <c r="Z7" s="128" t="s">
        <v>86</v>
      </c>
      <c r="AA7" s="134" t="s">
        <v>5</v>
      </c>
      <c r="AB7" s="158">
        <f t="shared" ref="AB7:AB13" si="11">D7*0.023884</f>
        <v>250.80952845959044</v>
      </c>
      <c r="AC7" s="158">
        <f t="shared" ref="AC7:AC13" si="12">E7*0.023884</f>
        <v>272.9840220009977</v>
      </c>
      <c r="AD7" s="158">
        <f t="shared" si="4"/>
        <v>261.72396780449043</v>
      </c>
      <c r="AE7" s="158">
        <f t="shared" si="5"/>
        <v>189.57146536239659</v>
      </c>
      <c r="AF7" s="158">
        <f t="shared" si="6"/>
        <v>117.41896292030273</v>
      </c>
      <c r="AG7" s="158">
        <f t="shared" si="6"/>
        <v>97.045635985782098</v>
      </c>
      <c r="AH7" s="158">
        <f t="shared" si="6"/>
        <v>76.67230905126145</v>
      </c>
      <c r="AI7" s="158">
        <f t="shared" si="6"/>
        <v>66.485645584001148</v>
      </c>
      <c r="AJ7" s="158">
        <f t="shared" si="6"/>
        <v>35.925655182220176</v>
      </c>
    </row>
    <row r="8" spans="1:38">
      <c r="A8" s="127"/>
      <c r="B8" s="134" t="s">
        <v>480</v>
      </c>
      <c r="C8" s="690"/>
      <c r="D8" s="155">
        <v>19156.987701494523</v>
      </c>
      <c r="E8" s="155">
        <f>AVERAGE(VS_TAK!D8,VS_TAK!J8)</f>
        <v>19075.567583884251</v>
      </c>
      <c r="F8" s="155">
        <f t="shared" si="7"/>
        <v>18427.011200264616</v>
      </c>
      <c r="G8" s="155">
        <f t="shared" si="7"/>
        <v>17778.454816644982</v>
      </c>
      <c r="H8" s="155">
        <f t="shared" si="7"/>
        <v>17129.898433025352</v>
      </c>
      <c r="I8" s="155">
        <f t="shared" si="7"/>
        <v>16481.342049405717</v>
      </c>
      <c r="J8" s="187">
        <f>Transpordi_kytused_maksud2020!E40</f>
        <v>15832.785665786083</v>
      </c>
      <c r="K8" s="156">
        <f t="shared" si="1"/>
        <v>15530.367328477481</v>
      </c>
      <c r="L8" s="156">
        <f t="shared" si="1"/>
        <v>15227.948991168882</v>
      </c>
      <c r="M8" s="156">
        <f t="shared" si="1"/>
        <v>14925.53065386028</v>
      </c>
      <c r="N8" s="156">
        <f t="shared" si="1"/>
        <v>14623.11231655168</v>
      </c>
      <c r="O8" s="155">
        <f t="shared" si="2"/>
        <v>14320.693979243079</v>
      </c>
      <c r="P8" s="458">
        <f t="shared" si="3"/>
        <v>14018.275641934477</v>
      </c>
      <c r="Q8" s="458">
        <f t="shared" si="3"/>
        <v>13715.857304625877</v>
      </c>
      <c r="R8" s="458">
        <f t="shared" si="3"/>
        <v>13413.438967317275</v>
      </c>
      <c r="S8" s="458">
        <f t="shared" si="3"/>
        <v>13111.020630008676</v>
      </c>
      <c r="T8" s="187">
        <f>Kytuste_hind_maksud2030!E41</f>
        <v>12808.602292700074</v>
      </c>
      <c r="U8" s="155">
        <f t="shared" si="8"/>
        <v>10748.090539953164</v>
      </c>
      <c r="V8" s="729">
        <f t="shared" si="9"/>
        <v>8687.5787872062538</v>
      </c>
      <c r="W8" s="729">
        <f t="shared" si="10"/>
        <v>7657.3229108327987</v>
      </c>
      <c r="X8" s="729">
        <f>Kytused2050!E$41</f>
        <v>4566.5552817124335</v>
      </c>
      <c r="Y8" s="155"/>
      <c r="Z8" s="128" t="s">
        <v>86</v>
      </c>
      <c r="AA8" s="134" t="s">
        <v>6</v>
      </c>
      <c r="AB8" s="158">
        <f t="shared" si="11"/>
        <v>457.5454942624952</v>
      </c>
      <c r="AC8" s="158">
        <f t="shared" si="12"/>
        <v>455.60085617349142</v>
      </c>
      <c r="AD8" s="158">
        <f t="shared" si="4"/>
        <v>378.15025284163477</v>
      </c>
      <c r="AE8" s="158">
        <f t="shared" si="5"/>
        <v>342.03545500024165</v>
      </c>
      <c r="AF8" s="158">
        <f t="shared" si="6"/>
        <v>305.92065715884854</v>
      </c>
      <c r="AG8" s="158">
        <f t="shared" si="6"/>
        <v>256.70739445624133</v>
      </c>
      <c r="AH8" s="158">
        <f t="shared" si="6"/>
        <v>207.49413175363415</v>
      </c>
      <c r="AI8" s="158">
        <f t="shared" si="6"/>
        <v>182.88750040233055</v>
      </c>
      <c r="AJ8" s="158">
        <f t="shared" si="6"/>
        <v>109.06760634841976</v>
      </c>
    </row>
    <row r="9" spans="1:38">
      <c r="A9" s="127"/>
      <c r="B9" s="134" t="s">
        <v>87</v>
      </c>
      <c r="C9" s="690"/>
      <c r="D9" s="155">
        <v>0</v>
      </c>
      <c r="E9" s="155">
        <f>AVERAGE(VS_TAK!D9,VS_TAK!J9)</f>
        <v>339.21154608061659</v>
      </c>
      <c r="F9" s="155">
        <f t="shared" si="0"/>
        <v>478.41522318844534</v>
      </c>
      <c r="G9" s="155">
        <f t="shared" si="0"/>
        <v>617.61890029627421</v>
      </c>
      <c r="H9" s="155">
        <f t="shared" si="0"/>
        <v>756.82257740410296</v>
      </c>
      <c r="I9" s="155">
        <f t="shared" si="0"/>
        <v>896.02625451193171</v>
      </c>
      <c r="J9" s="187">
        <f>Transpordi_kytused_maksud2020!F40</f>
        <v>1035.2299316197605</v>
      </c>
      <c r="K9" s="156">
        <f t="shared" si="1"/>
        <v>1212.8555343890146</v>
      </c>
      <c r="L9" s="156">
        <f t="shared" si="1"/>
        <v>1390.4811371582687</v>
      </c>
      <c r="M9" s="156">
        <f t="shared" si="1"/>
        <v>1568.106739927523</v>
      </c>
      <c r="N9" s="156">
        <f t="shared" si="1"/>
        <v>1745.7323426967771</v>
      </c>
      <c r="O9" s="155">
        <f t="shared" si="2"/>
        <v>1923.3579454660312</v>
      </c>
      <c r="P9" s="458">
        <f t="shared" si="3"/>
        <v>2100.9835482352855</v>
      </c>
      <c r="Q9" s="458">
        <f t="shared" si="3"/>
        <v>2278.6091510045394</v>
      </c>
      <c r="R9" s="458">
        <f t="shared" si="3"/>
        <v>2456.2347537737937</v>
      </c>
      <c r="S9" s="458">
        <f t="shared" si="3"/>
        <v>2633.8603565430476</v>
      </c>
      <c r="T9" s="187">
        <f>Kytuste_hind_maksud2030!F41</f>
        <v>2811.4859593123019</v>
      </c>
      <c r="U9" s="155">
        <f t="shared" si="8"/>
        <v>2527.3314015785741</v>
      </c>
      <c r="V9" s="729">
        <f t="shared" si="9"/>
        <v>2243.1768438448462</v>
      </c>
      <c r="W9" s="729">
        <f t="shared" si="10"/>
        <v>2101.0995649779825</v>
      </c>
      <c r="X9" s="729">
        <f>Kytused2050!F$41</f>
        <v>1674.8677283773909</v>
      </c>
      <c r="Y9" s="155"/>
      <c r="Z9" s="128" t="s">
        <v>86</v>
      </c>
      <c r="AA9" s="134" t="s">
        <v>87</v>
      </c>
      <c r="AB9" s="158">
        <f t="shared" si="11"/>
        <v>0</v>
      </c>
      <c r="AC9" s="158">
        <f t="shared" si="12"/>
        <v>8.101728566589447</v>
      </c>
      <c r="AD9" s="158">
        <f t="shared" si="4"/>
        <v>24.725431686806356</v>
      </c>
      <c r="AE9" s="158">
        <f t="shared" si="5"/>
        <v>45.93748116951069</v>
      </c>
      <c r="AF9" s="158">
        <f t="shared" si="6"/>
        <v>67.14953065221502</v>
      </c>
      <c r="AG9" s="158">
        <f t="shared" si="6"/>
        <v>60.362783195302661</v>
      </c>
      <c r="AH9" s="158">
        <f t="shared" si="6"/>
        <v>53.576035738390303</v>
      </c>
      <c r="AI9" s="158">
        <f t="shared" si="6"/>
        <v>50.182662009934134</v>
      </c>
      <c r="AJ9" s="158">
        <f t="shared" si="6"/>
        <v>40.0025408245656</v>
      </c>
    </row>
    <row r="10" spans="1:38">
      <c r="A10" s="127"/>
      <c r="B10" s="134" t="s">
        <v>8</v>
      </c>
      <c r="C10" s="690"/>
      <c r="D10" s="155">
        <v>0</v>
      </c>
      <c r="E10" s="155">
        <f>AVERAGE(VS_TAK!D10,VS_TAK!J10)</f>
        <v>588.47627728944849</v>
      </c>
      <c r="F10" s="155">
        <f t="shared" si="0"/>
        <v>689.94361419840732</v>
      </c>
      <c r="G10" s="155">
        <f t="shared" si="0"/>
        <v>791.41095110736615</v>
      </c>
      <c r="H10" s="155">
        <f t="shared" si="0"/>
        <v>892.87828801632486</v>
      </c>
      <c r="I10" s="155">
        <f t="shared" si="0"/>
        <v>994.34562492528369</v>
      </c>
      <c r="J10" s="187">
        <f>Transpordi_kytused_maksud2020!G40</f>
        <v>1095.8129618342425</v>
      </c>
      <c r="K10" s="156">
        <f t="shared" si="1"/>
        <v>1150.1056160224796</v>
      </c>
      <c r="L10" s="156">
        <f t="shared" si="1"/>
        <v>1204.3982702107166</v>
      </c>
      <c r="M10" s="156">
        <f t="shared" si="1"/>
        <v>1258.6909243989539</v>
      </c>
      <c r="N10" s="156">
        <f t="shared" si="1"/>
        <v>1312.983578587191</v>
      </c>
      <c r="O10" s="155">
        <f t="shared" si="2"/>
        <v>1367.2762327754281</v>
      </c>
      <c r="P10" s="458">
        <f t="shared" si="3"/>
        <v>1421.5688869636651</v>
      </c>
      <c r="Q10" s="458">
        <f t="shared" si="3"/>
        <v>1475.8615411519022</v>
      </c>
      <c r="R10" s="458">
        <f t="shared" si="3"/>
        <v>1530.1541953401393</v>
      </c>
      <c r="S10" s="458">
        <f t="shared" si="3"/>
        <v>1584.4468495283763</v>
      </c>
      <c r="T10" s="187">
        <f>Kytuste_hind_maksud2030!G41</f>
        <v>1638.7395037166134</v>
      </c>
      <c r="U10" s="155">
        <f t="shared" si="8"/>
        <v>1339.6555444182718</v>
      </c>
      <c r="V10" s="729">
        <f t="shared" si="9"/>
        <v>1040.5715851199302</v>
      </c>
      <c r="W10" s="729">
        <f t="shared" si="10"/>
        <v>891.02960547075929</v>
      </c>
      <c r="X10" s="729">
        <f>Kytused2050!G$41</f>
        <v>442.40366652324684</v>
      </c>
      <c r="Y10" s="155"/>
      <c r="Z10" s="128" t="s">
        <v>86</v>
      </c>
      <c r="AA10" s="134" t="s">
        <v>8</v>
      </c>
      <c r="AB10" s="158">
        <f t="shared" si="11"/>
        <v>0</v>
      </c>
      <c r="AC10" s="158">
        <f t="shared" si="12"/>
        <v>14.055167406781187</v>
      </c>
      <c r="AD10" s="158">
        <f t="shared" si="4"/>
        <v>26.172396780449048</v>
      </c>
      <c r="AE10" s="158">
        <f t="shared" si="5"/>
        <v>32.656025543608322</v>
      </c>
      <c r="AF10" s="158">
        <f t="shared" si="6"/>
        <v>39.139654306767589</v>
      </c>
      <c r="AG10" s="158">
        <f t="shared" si="6"/>
        <v>31.996333022886002</v>
      </c>
      <c r="AH10" s="158">
        <f t="shared" si="6"/>
        <v>24.853011739004412</v>
      </c>
      <c r="AI10" s="158">
        <f t="shared" si="6"/>
        <v>21.281351097063613</v>
      </c>
      <c r="AJ10" s="158">
        <f t="shared" si="6"/>
        <v>10.566369171241227</v>
      </c>
    </row>
    <row r="11" spans="1:38">
      <c r="B11" s="134" t="s">
        <v>9</v>
      </c>
      <c r="C11" s="690"/>
      <c r="D11" s="155">
        <v>0</v>
      </c>
      <c r="E11" s="155">
        <f>AVERAGE(VS_TAK!D11,VS_TAK!J11)</f>
        <v>408.44386006507523</v>
      </c>
      <c r="F11" s="155">
        <f t="shared" si="0"/>
        <v>360.70924663948841</v>
      </c>
      <c r="G11" s="155">
        <f t="shared" si="0"/>
        <v>312.97463321390154</v>
      </c>
      <c r="H11" s="155">
        <f t="shared" si="0"/>
        <v>265.24001978831473</v>
      </c>
      <c r="I11" s="155">
        <f t="shared" si="0"/>
        <v>217.50540636272788</v>
      </c>
      <c r="J11" s="187">
        <f>Transpordi_kytused_maksud2020!H40</f>
        <v>169.77079293714104</v>
      </c>
      <c r="K11" s="156">
        <f t="shared" si="1"/>
        <v>152.79371364342694</v>
      </c>
      <c r="L11" s="156">
        <f t="shared" si="1"/>
        <v>135.81663434971284</v>
      </c>
      <c r="M11" s="156">
        <f t="shared" si="1"/>
        <v>118.83955505599872</v>
      </c>
      <c r="N11" s="156">
        <f t="shared" si="1"/>
        <v>101.86247576228462</v>
      </c>
      <c r="O11" s="155">
        <f t="shared" si="2"/>
        <v>84.885396468570519</v>
      </c>
      <c r="P11" s="458">
        <f t="shared" si="3"/>
        <v>67.908317174856421</v>
      </c>
      <c r="Q11" s="458">
        <f t="shared" si="3"/>
        <v>50.931237881142309</v>
      </c>
      <c r="R11" s="458">
        <f t="shared" si="3"/>
        <v>33.954158587428203</v>
      </c>
      <c r="S11" s="458">
        <f t="shared" si="3"/>
        <v>16.977079293714098</v>
      </c>
      <c r="T11" s="187">
        <f>Kytuste_hind_maksud2030!H41</f>
        <v>0</v>
      </c>
      <c r="U11" s="155">
        <f t="shared" si="8"/>
        <v>0</v>
      </c>
      <c r="V11" s="729">
        <f t="shared" si="9"/>
        <v>0</v>
      </c>
      <c r="W11" s="729">
        <f t="shared" si="10"/>
        <v>0</v>
      </c>
      <c r="X11" s="729">
        <f>Kytused2050!H$41</f>
        <v>0</v>
      </c>
      <c r="Y11" s="155"/>
      <c r="Z11" s="128" t="s">
        <v>86</v>
      </c>
      <c r="AA11" s="134" t="s">
        <v>9</v>
      </c>
      <c r="AB11" s="158">
        <f t="shared" si="11"/>
        <v>0</v>
      </c>
      <c r="AC11" s="158">
        <f t="shared" si="12"/>
        <v>9.7552731537942563</v>
      </c>
      <c r="AD11" s="158">
        <f t="shared" si="4"/>
        <v>4.0548056185106764</v>
      </c>
      <c r="AE11" s="158">
        <f t="shared" si="5"/>
        <v>2.0274028092553382</v>
      </c>
      <c r="AF11" s="158">
        <f t="shared" si="6"/>
        <v>0</v>
      </c>
      <c r="AG11" s="158">
        <f t="shared" si="6"/>
        <v>0</v>
      </c>
      <c r="AH11" s="158">
        <f t="shared" si="6"/>
        <v>0</v>
      </c>
      <c r="AI11" s="158">
        <f t="shared" si="6"/>
        <v>0</v>
      </c>
      <c r="AJ11" s="158">
        <f t="shared" si="6"/>
        <v>0</v>
      </c>
    </row>
    <row r="12" spans="1:38">
      <c r="B12" s="134" t="s">
        <v>10</v>
      </c>
      <c r="C12" s="690"/>
      <c r="D12" s="155">
        <v>0</v>
      </c>
      <c r="E12" s="155">
        <f>AVERAGE(VS_TAK!D12,VS_TAK!J12)</f>
        <v>634.21101468713482</v>
      </c>
      <c r="F12" s="155">
        <f t="shared" si="0"/>
        <v>895.35998285575386</v>
      </c>
      <c r="G12" s="155">
        <f t="shared" si="0"/>
        <v>1156.5089510243729</v>
      </c>
      <c r="H12" s="155">
        <f t="shared" si="0"/>
        <v>1417.6579191929918</v>
      </c>
      <c r="I12" s="155">
        <f t="shared" si="0"/>
        <v>1678.806887361611</v>
      </c>
      <c r="J12" s="187">
        <f>Transpordi_kytused_maksud2020!I40</f>
        <v>1939.9558555302299</v>
      </c>
      <c r="K12" s="156">
        <f t="shared" si="1"/>
        <v>2346.0007065779346</v>
      </c>
      <c r="L12" s="156">
        <f t="shared" si="1"/>
        <v>2752.0455576256395</v>
      </c>
      <c r="M12" s="156">
        <f t="shared" si="1"/>
        <v>3158.0904086733444</v>
      </c>
      <c r="N12" s="156">
        <f t="shared" si="1"/>
        <v>3564.1352597210489</v>
      </c>
      <c r="O12" s="155">
        <f t="shared" si="2"/>
        <v>3970.1801107687538</v>
      </c>
      <c r="P12" s="458">
        <f t="shared" si="3"/>
        <v>4376.2249618164587</v>
      </c>
      <c r="Q12" s="458">
        <f t="shared" si="3"/>
        <v>4782.2698128641632</v>
      </c>
      <c r="R12" s="458">
        <f t="shared" si="3"/>
        <v>5188.3146639118677</v>
      </c>
      <c r="S12" s="458">
        <f t="shared" si="3"/>
        <v>5594.3595149595731</v>
      </c>
      <c r="T12" s="187">
        <f>Kytuste_hind_maksud2030!I41</f>
        <v>6000.4043660072775</v>
      </c>
      <c r="U12" s="155">
        <f t="shared" si="8"/>
        <v>5738.9748386016799</v>
      </c>
      <c r="V12" s="729">
        <f t="shared" si="9"/>
        <v>5477.5453111960815</v>
      </c>
      <c r="W12" s="729">
        <f t="shared" si="10"/>
        <v>5346.8305474932822</v>
      </c>
      <c r="X12" s="729">
        <f>Kytused2050!I$41</f>
        <v>4954.6862563848845</v>
      </c>
      <c r="Y12" s="155"/>
      <c r="Z12" s="128" t="s">
        <v>86</v>
      </c>
      <c r="AA12" s="134" t="s">
        <v>10</v>
      </c>
      <c r="AB12" s="158">
        <f t="shared" si="11"/>
        <v>0</v>
      </c>
      <c r="AC12" s="158">
        <f t="shared" si="12"/>
        <v>15.147495874787527</v>
      </c>
      <c r="AD12" s="158">
        <f t="shared" si="4"/>
        <v>46.33390565348401</v>
      </c>
      <c r="AE12" s="158">
        <f t="shared" si="5"/>
        <v>94.823781765600913</v>
      </c>
      <c r="AF12" s="158">
        <f t="shared" si="6"/>
        <v>143.31365787771782</v>
      </c>
      <c r="AG12" s="158">
        <f t="shared" si="6"/>
        <v>137.06967504516251</v>
      </c>
      <c r="AH12" s="158">
        <f t="shared" si="6"/>
        <v>130.82569221260721</v>
      </c>
      <c r="AI12" s="158">
        <f t="shared" si="6"/>
        <v>127.70370079632954</v>
      </c>
      <c r="AJ12" s="158">
        <f t="shared" si="6"/>
        <v>118.33772654749657</v>
      </c>
    </row>
    <row r="13" spans="1:38" s="135" customFormat="1">
      <c r="B13" s="443" t="s">
        <v>19</v>
      </c>
      <c r="C13" s="691"/>
      <c r="D13" s="444">
        <f t="shared" ref="D13:N13" si="13">SUM(D6:D12)</f>
        <v>29886.140291495798</v>
      </c>
      <c r="E13" s="444">
        <f t="shared" si="13"/>
        <v>32684.968828523964</v>
      </c>
      <c r="F13" s="444">
        <f t="shared" si="13"/>
        <v>32401.33477660668</v>
      </c>
      <c r="G13" s="444">
        <f t="shared" si="13"/>
        <v>32117.700724689406</v>
      </c>
      <c r="H13" s="444">
        <f t="shared" si="13"/>
        <v>31834.066672772129</v>
      </c>
      <c r="I13" s="444">
        <f t="shared" si="13"/>
        <v>31550.432620854859</v>
      </c>
      <c r="J13" s="445">
        <f t="shared" si="13"/>
        <v>31266.798568937575</v>
      </c>
      <c r="K13" s="156">
        <f t="shared" si="13"/>
        <v>31065.454629538486</v>
      </c>
      <c r="L13" s="156">
        <f t="shared" si="13"/>
        <v>30864.110690139398</v>
      </c>
      <c r="M13" s="156">
        <f t="shared" si="13"/>
        <v>30662.766750740302</v>
      </c>
      <c r="N13" s="156">
        <f t="shared" si="13"/>
        <v>30461.422811341214</v>
      </c>
      <c r="O13" s="444">
        <f t="shared" si="2"/>
        <v>30260.078871942118</v>
      </c>
      <c r="P13" s="458">
        <f t="shared" si="3"/>
        <v>30058.734932543026</v>
      </c>
      <c r="Q13" s="458">
        <f t="shared" si="3"/>
        <v>29857.390993143938</v>
      </c>
      <c r="R13" s="458">
        <f t="shared" si="3"/>
        <v>29656.047053744845</v>
      </c>
      <c r="S13" s="458">
        <f t="shared" si="3"/>
        <v>29454.703114345757</v>
      </c>
      <c r="T13" s="445">
        <f>SUM(T6:T12)</f>
        <v>29253.359174946665</v>
      </c>
      <c r="U13" s="444">
        <f>SUM(U6:U12)</f>
        <v>25759.772689012549</v>
      </c>
      <c r="V13" s="747">
        <f>SUM(V6:V12)</f>
        <v>22266.186203078443</v>
      </c>
      <c r="W13" s="747">
        <f>SUM(W6:W12)</f>
        <v>20519.392960111392</v>
      </c>
      <c r="X13" s="747">
        <f>SUM(X6:X12)</f>
        <v>15279.013231210223</v>
      </c>
      <c r="Y13" s="444"/>
      <c r="Z13" s="446" t="s">
        <v>86</v>
      </c>
      <c r="AA13" s="446"/>
      <c r="AB13" s="447">
        <f t="shared" si="11"/>
        <v>713.80057472208557</v>
      </c>
      <c r="AC13" s="447">
        <f t="shared" si="12"/>
        <v>780.64779550046637</v>
      </c>
      <c r="AD13" s="447">
        <f t="shared" si="4"/>
        <v>746.77621702050499</v>
      </c>
      <c r="AE13" s="447">
        <f t="shared" si="5"/>
        <v>722.7317237774655</v>
      </c>
      <c r="AF13" s="447">
        <f t="shared" si="6"/>
        <v>698.68723053442613</v>
      </c>
      <c r="AG13" s="447">
        <f t="shared" si="6"/>
        <v>615.24641090437569</v>
      </c>
      <c r="AH13" s="447">
        <f t="shared" si="6"/>
        <v>531.80559127432548</v>
      </c>
      <c r="AI13" s="447">
        <f t="shared" si="6"/>
        <v>490.08518145930049</v>
      </c>
      <c r="AJ13" s="447">
        <f t="shared" si="6"/>
        <v>364.92395201422494</v>
      </c>
    </row>
    <row r="14" spans="1:38" s="184" customFormat="1" ht="15.75" thickBot="1">
      <c r="A14" s="433"/>
      <c r="B14" s="654" t="s">
        <v>67</v>
      </c>
      <c r="C14" s="692" t="s">
        <v>132</v>
      </c>
      <c r="D14" s="652">
        <v>2248000</v>
      </c>
      <c r="E14" s="653">
        <f>(SUM(E7:E8)*$AF$14)+(E9*$AF$48)</f>
        <v>2196370.4249105351</v>
      </c>
      <c r="F14" s="155">
        <f>$E14+($J14-$E14)/5*(F$4-$E$4)</f>
        <v>2154480.0952540198</v>
      </c>
      <c r="G14" s="155">
        <f>$E14+($J14-$E14)/5*(G$4-$E$4)</f>
        <v>2112589.7655975046</v>
      </c>
      <c r="H14" s="155">
        <f>$E14+($J14-$E14)/5*(H$4-$E$4)</f>
        <v>2070699.4359409895</v>
      </c>
      <c r="I14" s="155">
        <f>$E14+($J14-$E14)/5*(I$4-$E$4)</f>
        <v>2028809.1062844745</v>
      </c>
      <c r="J14" s="653">
        <f>(SUM(J7:J8)*$AF$14)+(J9*$AG$14)</f>
        <v>1986918.7766279592</v>
      </c>
      <c r="K14" s="156">
        <f>$J14+($O14-$J14)/5*(K$4-$J$4)</f>
        <v>1931589.9301250316</v>
      </c>
      <c r="L14" s="156">
        <f>$J14+($O14-$J14)/5*(L$4-$J$4)</f>
        <v>1876261.0836221038</v>
      </c>
      <c r="M14" s="156">
        <f>$J14+($O14-$J14)/5*(M$4-$J$4)</f>
        <v>1820932.2371191762</v>
      </c>
      <c r="N14" s="156">
        <f>$J14+($O14-$J14)/5*(N$4-$J$4)</f>
        <v>1765603.3906162484</v>
      </c>
      <c r="O14" s="652">
        <f>(SUM(O7:O8)*$AF$14)+(O9*$AG$14)</f>
        <v>1710274.5441133208</v>
      </c>
      <c r="P14" s="652"/>
      <c r="Q14" s="652"/>
      <c r="R14" s="652"/>
      <c r="S14" s="652"/>
      <c r="T14" s="653">
        <f>(SUM(T7:T8)*$AF$14)+(T9*$AG$14)</f>
        <v>1433630.3115986825</v>
      </c>
      <c r="U14" s="652">
        <f>AVERAGE(T14,V14)</f>
        <v>1207943.9813583419</v>
      </c>
      <c r="V14" s="733">
        <f>AVERAGE(T14,X14)</f>
        <v>982257.6511180012</v>
      </c>
      <c r="W14" s="733">
        <f>AVERAGE(V14,X14)</f>
        <v>756571.32087766053</v>
      </c>
      <c r="X14" s="733">
        <f>(SUM(X7:X8)*$AF$14)+(X9*$AG$14)</f>
        <v>530884.99063731998</v>
      </c>
      <c r="Y14" s="434"/>
      <c r="Z14" s="931" t="s">
        <v>427</v>
      </c>
      <c r="AE14" s="435" t="s">
        <v>72</v>
      </c>
      <c r="AF14" s="436">
        <v>72</v>
      </c>
      <c r="AG14" s="184">
        <v>56</v>
      </c>
      <c r="AH14" s="931" t="s">
        <v>7</v>
      </c>
    </row>
    <row r="15" spans="1:38" s="453" customFormat="1" ht="15.75" thickBot="1">
      <c r="A15" s="448"/>
      <c r="B15" s="454" t="s">
        <v>70</v>
      </c>
      <c r="C15" s="693">
        <v>1000</v>
      </c>
      <c r="D15" s="661">
        <v>2010</v>
      </c>
      <c r="E15" s="661">
        <v>2015</v>
      </c>
      <c r="F15" s="661"/>
      <c r="G15" s="661"/>
      <c r="H15" s="661"/>
      <c r="I15" s="661"/>
      <c r="J15" s="661">
        <v>2020</v>
      </c>
      <c r="K15" s="661"/>
      <c r="L15" s="661"/>
      <c r="M15" s="661"/>
      <c r="N15" s="661"/>
      <c r="O15" s="661">
        <v>2025</v>
      </c>
      <c r="P15" s="661"/>
      <c r="Q15" s="661"/>
      <c r="R15" s="661"/>
      <c r="S15" s="661"/>
      <c r="T15" s="661">
        <v>2030</v>
      </c>
      <c r="U15" s="661">
        <v>2035</v>
      </c>
      <c r="V15" s="734">
        <v>2040</v>
      </c>
      <c r="W15" s="734">
        <v>2045</v>
      </c>
      <c r="X15" s="734">
        <v>2050</v>
      </c>
      <c r="Y15" s="450"/>
      <c r="Z15" s="451"/>
      <c r="AA15" s="451"/>
      <c r="AB15" s="452"/>
      <c r="AE15" s="452"/>
    </row>
    <row r="16" spans="1:38" s="184" customFormat="1">
      <c r="A16" s="433"/>
      <c r="B16" s="656" t="s">
        <v>57</v>
      </c>
      <c r="C16" s="694"/>
      <c r="D16" s="657"/>
      <c r="E16" s="657"/>
      <c r="F16" s="657"/>
      <c r="G16" s="657"/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  <c r="T16" s="657"/>
      <c r="U16" s="657"/>
      <c r="V16" s="735"/>
      <c r="W16" s="735"/>
      <c r="X16" s="735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/>
    </row>
    <row r="17" spans="1:37">
      <c r="A17" s="127"/>
      <c r="B17" s="134" t="s">
        <v>4</v>
      </c>
      <c r="C17" s="690"/>
      <c r="D17" s="155">
        <v>5356.6697057196725</v>
      </c>
      <c r="E17" s="155">
        <f>AVERAGE(VS_TAK!D17,VS_TAK!J17)</f>
        <v>6094.4376962663819</v>
      </c>
      <c r="F17" s="155">
        <f t="shared" ref="F17:I23" si="14">$E17+($J17-$E17)/5*(F$4-$E$4)</f>
        <v>6557.9160010432279</v>
      </c>
      <c r="G17" s="155">
        <f t="shared" si="14"/>
        <v>7021.3943058200748</v>
      </c>
      <c r="H17" s="155">
        <f t="shared" si="14"/>
        <v>7484.8726105969208</v>
      </c>
      <c r="I17" s="155">
        <f t="shared" si="14"/>
        <v>7948.3509153737668</v>
      </c>
      <c r="J17" s="187">
        <f>Transpordi_kytused_maksud2020!M40</f>
        <v>8411.8292201506138</v>
      </c>
      <c r="K17" s="156">
        <f t="shared" ref="K17:N29" si="15">$J17+($O17-$J17)/5*(K$4-$J$4)</f>
        <v>11322.488312806641</v>
      </c>
      <c r="L17" s="156">
        <f t="shared" si="15"/>
        <v>14233.147405462671</v>
      </c>
      <c r="M17" s="156">
        <f t="shared" si="15"/>
        <v>17143.806498118698</v>
      </c>
      <c r="N17" s="156">
        <f t="shared" si="15"/>
        <v>20054.465590774726</v>
      </c>
      <c r="O17" s="155">
        <f t="shared" ref="O17:O27" si="16">AVERAGE(J17,T17)</f>
        <v>22965.124683430753</v>
      </c>
      <c r="P17" s="458">
        <f t="shared" ref="P17:S29" si="17">$O17+($T17-$O17)/5*(P$4-$O$4)</f>
        <v>25875.783776086781</v>
      </c>
      <c r="Q17" s="458">
        <f t="shared" si="17"/>
        <v>28786.442868742808</v>
      </c>
      <c r="R17" s="458">
        <f t="shared" si="17"/>
        <v>31697.101961398839</v>
      </c>
      <c r="S17" s="458">
        <f t="shared" si="17"/>
        <v>34607.761054054863</v>
      </c>
      <c r="T17" s="187">
        <f>Kytuste_hind_maksud2030!$M$41</f>
        <v>37518.420146710894</v>
      </c>
      <c r="U17" s="155">
        <f t="shared" ref="U17:U27" si="18">AVERAGE(T17,V17)</f>
        <v>45836.82553936253</v>
      </c>
      <c r="V17" s="729">
        <f t="shared" ref="V17:V23" si="19">AVERAGE(T17,X17)</f>
        <v>54155.230932014172</v>
      </c>
      <c r="W17" s="729">
        <f t="shared" ref="W17:W23" si="20">AVERAGE(U17,X17)</f>
        <v>58314.43362833999</v>
      </c>
      <c r="X17" s="729">
        <f>Kytused2050!M41</f>
        <v>70792.04171731745</v>
      </c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</row>
    <row r="18" spans="1:37">
      <c r="A18" s="127"/>
      <c r="B18" s="134" t="s">
        <v>5</v>
      </c>
      <c r="C18" s="690"/>
      <c r="D18" s="155">
        <v>195591.64326990649</v>
      </c>
      <c r="E18" s="155">
        <f>AVERAGE(VS_TAK!D18,VS_TAK!J18)</f>
        <v>217107.65827144211</v>
      </c>
      <c r="F18" s="155">
        <f t="shared" si="14"/>
        <v>216004.76646145355</v>
      </c>
      <c r="G18" s="155">
        <f t="shared" si="14"/>
        <v>214901.87465146495</v>
      </c>
      <c r="H18" s="155">
        <f t="shared" si="14"/>
        <v>213798.98284147639</v>
      </c>
      <c r="I18" s="155">
        <f t="shared" si="14"/>
        <v>212696.0910314878</v>
      </c>
      <c r="J18" s="187">
        <f>Transpordi_kytused_maksud2020!$N$36</f>
        <v>211593.19922149924</v>
      </c>
      <c r="K18" s="156">
        <f t="shared" si="15"/>
        <v>200598.78552242715</v>
      </c>
      <c r="L18" s="156">
        <f t="shared" si="15"/>
        <v>189604.37182335506</v>
      </c>
      <c r="M18" s="156">
        <f t="shared" si="15"/>
        <v>178609.95812428294</v>
      </c>
      <c r="N18" s="156">
        <f t="shared" si="15"/>
        <v>167615.54442521086</v>
      </c>
      <c r="O18" s="155">
        <f t="shared" si="16"/>
        <v>156621.13072613877</v>
      </c>
      <c r="P18" s="458">
        <f t="shared" si="17"/>
        <v>145626.71702706668</v>
      </c>
      <c r="Q18" s="458">
        <f t="shared" si="17"/>
        <v>134632.3033279946</v>
      </c>
      <c r="R18" s="458">
        <f t="shared" si="17"/>
        <v>123637.88962892251</v>
      </c>
      <c r="S18" s="458">
        <f t="shared" si="17"/>
        <v>112643.47592985042</v>
      </c>
      <c r="T18" s="187">
        <f>Kytuste_hind_maksud2030!$N$37</f>
        <v>101649.06223077833</v>
      </c>
      <c r="U18" s="155">
        <f t="shared" si="18"/>
        <v>85977.525304377137</v>
      </c>
      <c r="V18" s="729">
        <f t="shared" si="19"/>
        <v>70305.98837797594</v>
      </c>
      <c r="W18" s="729">
        <f t="shared" si="20"/>
        <v>62470.219914775342</v>
      </c>
      <c r="X18" s="729">
        <f>Kytused2050!N37</f>
        <v>38962.914525173554</v>
      </c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</row>
    <row r="19" spans="1:37">
      <c r="A19" s="127"/>
      <c r="B19" s="134" t="s">
        <v>480</v>
      </c>
      <c r="C19" s="690"/>
      <c r="D19" s="155">
        <v>338969.51081210363</v>
      </c>
      <c r="E19" s="155">
        <f>AVERAGE(VS_TAK!D19,VS_TAK!J19)</f>
        <v>343695.59407712345</v>
      </c>
      <c r="F19" s="155">
        <f t="shared" si="14"/>
        <v>333042.63836501155</v>
      </c>
      <c r="G19" s="155">
        <f t="shared" si="14"/>
        <v>322389.68265289965</v>
      </c>
      <c r="H19" s="155">
        <f t="shared" si="14"/>
        <v>311736.72694078775</v>
      </c>
      <c r="I19" s="155">
        <f t="shared" si="14"/>
        <v>301083.77122867585</v>
      </c>
      <c r="J19" s="187">
        <f>Transpordi_kytused_maksud2020!$O$36</f>
        <v>290430.81551656395</v>
      </c>
      <c r="K19" s="156">
        <f t="shared" si="15"/>
        <v>286546.77187716519</v>
      </c>
      <c r="L19" s="156">
        <f t="shared" si="15"/>
        <v>282662.72823776637</v>
      </c>
      <c r="M19" s="156">
        <f t="shared" si="15"/>
        <v>278778.6845983676</v>
      </c>
      <c r="N19" s="156">
        <f t="shared" si="15"/>
        <v>274894.64095896878</v>
      </c>
      <c r="O19" s="155">
        <f t="shared" si="16"/>
        <v>271010.59731957002</v>
      </c>
      <c r="P19" s="458">
        <f t="shared" si="17"/>
        <v>267126.55368017126</v>
      </c>
      <c r="Q19" s="458">
        <f t="shared" si="17"/>
        <v>263242.51004077244</v>
      </c>
      <c r="R19" s="458">
        <f t="shared" si="17"/>
        <v>259358.46640137368</v>
      </c>
      <c r="S19" s="458">
        <f t="shared" si="17"/>
        <v>255474.42276197491</v>
      </c>
      <c r="T19" s="187">
        <f>Kytuste_hind_maksud2030!$O$37</f>
        <v>251590.37912257612</v>
      </c>
      <c r="U19" s="155">
        <f t="shared" si="18"/>
        <v>216786.07542978405</v>
      </c>
      <c r="V19" s="729">
        <f t="shared" si="19"/>
        <v>181981.77173699197</v>
      </c>
      <c r="W19" s="729">
        <f t="shared" si="20"/>
        <v>164579.61989059593</v>
      </c>
      <c r="X19" s="729">
        <f>Kytused2050!O37</f>
        <v>112373.16435140782</v>
      </c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</row>
    <row r="20" spans="1:37">
      <c r="A20" s="127"/>
      <c r="B20" s="134" t="s">
        <v>68</v>
      </c>
      <c r="C20" s="690"/>
      <c r="D20" s="155">
        <v>0</v>
      </c>
      <c r="E20" s="155">
        <f>AVERAGE(VS_TAK!D20,VS_TAK!J20)</f>
        <v>5972.1236893675341</v>
      </c>
      <c r="F20" s="155">
        <f t="shared" si="14"/>
        <v>8422.9293512277509</v>
      </c>
      <c r="G20" s="155">
        <f t="shared" si="14"/>
        <v>10873.735013087969</v>
      </c>
      <c r="H20" s="155">
        <f t="shared" si="14"/>
        <v>13324.540674948188</v>
      </c>
      <c r="I20" s="155">
        <f t="shared" si="14"/>
        <v>15775.346336808405</v>
      </c>
      <c r="J20" s="187">
        <f>Transpordi_kytused_maksud2020!$P$36</f>
        <v>18226.151998668622</v>
      </c>
      <c r="K20" s="156">
        <f t="shared" si="15"/>
        <v>21519.792440297999</v>
      </c>
      <c r="L20" s="156">
        <f t="shared" si="15"/>
        <v>24813.43288192738</v>
      </c>
      <c r="M20" s="156">
        <f t="shared" si="15"/>
        <v>28107.073323556757</v>
      </c>
      <c r="N20" s="156">
        <f t="shared" si="15"/>
        <v>31400.713765186134</v>
      </c>
      <c r="O20" s="155">
        <f t="shared" si="16"/>
        <v>34694.354206815515</v>
      </c>
      <c r="P20" s="458">
        <f t="shared" si="17"/>
        <v>37987.994648444896</v>
      </c>
      <c r="Q20" s="458">
        <f t="shared" si="17"/>
        <v>41281.635090074276</v>
      </c>
      <c r="R20" s="458">
        <f t="shared" si="17"/>
        <v>44575.27553170365</v>
      </c>
      <c r="S20" s="458">
        <f t="shared" si="17"/>
        <v>47868.915973333031</v>
      </c>
      <c r="T20" s="187">
        <f>Kytuste_hind_maksud2030!$P$37</f>
        <v>51162.556414962412</v>
      </c>
      <c r="U20" s="155">
        <f t="shared" si="18"/>
        <v>47019.09816472778</v>
      </c>
      <c r="V20" s="729">
        <f t="shared" si="19"/>
        <v>42875.639914493157</v>
      </c>
      <c r="W20" s="729">
        <f t="shared" si="20"/>
        <v>40803.910789375841</v>
      </c>
      <c r="X20" s="729">
        <f>Kytused2050!P37</f>
        <v>34588.723414023902</v>
      </c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</row>
    <row r="21" spans="1:37">
      <c r="A21" s="127"/>
      <c r="B21" s="134" t="s">
        <v>8</v>
      </c>
      <c r="C21" s="690"/>
      <c r="D21" s="155">
        <v>0</v>
      </c>
      <c r="E21" s="155">
        <f>AVERAGE(VS_TAK!D21,VS_TAK!J21)</f>
        <v>12889.595659473171</v>
      </c>
      <c r="F21" s="155">
        <f t="shared" si="14"/>
        <v>15112.069182831065</v>
      </c>
      <c r="G21" s="155">
        <f t="shared" si="14"/>
        <v>17334.54270618896</v>
      </c>
      <c r="H21" s="155">
        <f t="shared" si="14"/>
        <v>19557.016229546854</v>
      </c>
      <c r="I21" s="155">
        <f t="shared" si="14"/>
        <v>21779.489752904748</v>
      </c>
      <c r="J21" s="187">
        <f>Transpordi_kytused_maksud2020!$Q$36</f>
        <v>24001.963276262642</v>
      </c>
      <c r="K21" s="156">
        <f t="shared" si="15"/>
        <v>25445.269587514798</v>
      </c>
      <c r="L21" s="156">
        <f t="shared" si="15"/>
        <v>26888.575898766954</v>
      </c>
      <c r="M21" s="156">
        <f t="shared" si="15"/>
        <v>28331.88221001911</v>
      </c>
      <c r="N21" s="156">
        <f t="shared" si="15"/>
        <v>29775.188521271266</v>
      </c>
      <c r="O21" s="155">
        <f t="shared" si="16"/>
        <v>31218.494832523422</v>
      </c>
      <c r="P21" s="458">
        <f t="shared" si="17"/>
        <v>32661.801143775578</v>
      </c>
      <c r="Q21" s="458">
        <f t="shared" si="17"/>
        <v>34105.107455027734</v>
      </c>
      <c r="R21" s="458">
        <f t="shared" si="17"/>
        <v>35548.413766279889</v>
      </c>
      <c r="S21" s="458">
        <f t="shared" si="17"/>
        <v>36991.720077532045</v>
      </c>
      <c r="T21" s="187">
        <f>Kytuste_hind_maksud2030!$Q$37</f>
        <v>38435.026388784201</v>
      </c>
      <c r="U21" s="155">
        <f t="shared" si="18"/>
        <v>32076.07693751634</v>
      </c>
      <c r="V21" s="729">
        <f t="shared" si="19"/>
        <v>25717.127486248479</v>
      </c>
      <c r="W21" s="729">
        <f t="shared" si="20"/>
        <v>22537.652760614546</v>
      </c>
      <c r="X21" s="729">
        <f>Kytused2050!Q37</f>
        <v>12999.228583712757</v>
      </c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</row>
    <row r="22" spans="1:37">
      <c r="A22" s="127"/>
      <c r="B22" s="134" t="s">
        <v>9</v>
      </c>
      <c r="C22" s="690"/>
      <c r="D22" s="155">
        <v>0</v>
      </c>
      <c r="E22" s="155">
        <f>AVERAGE(VS_TAK!D22,VS_TAK!J22)</f>
        <v>9205.3503361088442</v>
      </c>
      <c r="F22" s="155">
        <f t="shared" si="14"/>
        <v>8129.5260118767646</v>
      </c>
      <c r="G22" s="155">
        <f t="shared" si="14"/>
        <v>7053.7016876446851</v>
      </c>
      <c r="H22" s="155">
        <f t="shared" si="14"/>
        <v>5977.8773634126055</v>
      </c>
      <c r="I22" s="155">
        <f t="shared" si="14"/>
        <v>4902.053039180526</v>
      </c>
      <c r="J22" s="187">
        <f>Transpordi_kytused_maksud2020!$R$36</f>
        <v>3826.2287149484464</v>
      </c>
      <c r="K22" s="156">
        <f t="shared" si="15"/>
        <v>3443.6058434536017</v>
      </c>
      <c r="L22" s="156">
        <f t="shared" si="15"/>
        <v>3060.9829719587569</v>
      </c>
      <c r="M22" s="156">
        <f t="shared" si="15"/>
        <v>2678.3601004639127</v>
      </c>
      <c r="N22" s="156">
        <f t="shared" si="15"/>
        <v>2295.7372289690679</v>
      </c>
      <c r="O22" s="155">
        <f t="shared" si="16"/>
        <v>1913.1143574742232</v>
      </c>
      <c r="P22" s="458">
        <f t="shared" si="17"/>
        <v>1530.4914859793785</v>
      </c>
      <c r="Q22" s="458">
        <f t="shared" si="17"/>
        <v>1147.868614484534</v>
      </c>
      <c r="R22" s="458">
        <f t="shared" si="17"/>
        <v>765.24574298968946</v>
      </c>
      <c r="S22" s="458">
        <f t="shared" si="17"/>
        <v>382.62287149484473</v>
      </c>
      <c r="T22" s="187">
        <f>Kytuste_hind_maksud2030!$R$37</f>
        <v>0</v>
      </c>
      <c r="U22" s="155">
        <f t="shared" si="18"/>
        <v>0</v>
      </c>
      <c r="V22" s="729">
        <f t="shared" si="19"/>
        <v>0</v>
      </c>
      <c r="W22" s="729">
        <f t="shared" si="20"/>
        <v>0</v>
      </c>
      <c r="X22" s="729">
        <f>Kytused2050!R37</f>
        <v>0</v>
      </c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</row>
    <row r="23" spans="1:37">
      <c r="A23" s="127"/>
      <c r="B23" s="134" t="s">
        <v>10</v>
      </c>
      <c r="C23" s="690"/>
      <c r="D23" s="155">
        <v>0</v>
      </c>
      <c r="E23" s="155">
        <f>AVERAGE(VS_TAK!D23,VS_TAK!J23)</f>
        <v>18642.009406927566</v>
      </c>
      <c r="F23" s="155">
        <f t="shared" si="14"/>
        <v>26318.226641360878</v>
      </c>
      <c r="G23" s="155">
        <f t="shared" si="14"/>
        <v>33994.44387579419</v>
      </c>
      <c r="H23" s="155">
        <f t="shared" si="14"/>
        <v>41670.661110227506</v>
      </c>
      <c r="I23" s="155">
        <f t="shared" si="14"/>
        <v>49346.878344660814</v>
      </c>
      <c r="J23" s="187">
        <f>Transpordi_kytused_maksud2020!$S$36</f>
        <v>57023.09557909413</v>
      </c>
      <c r="K23" s="156">
        <f t="shared" si="15"/>
        <v>69551.245337292465</v>
      </c>
      <c r="L23" s="156">
        <f t="shared" si="15"/>
        <v>82079.395095490807</v>
      </c>
      <c r="M23" s="156">
        <f t="shared" si="15"/>
        <v>94607.544853689149</v>
      </c>
      <c r="N23" s="156">
        <f t="shared" si="15"/>
        <v>107135.69461188749</v>
      </c>
      <c r="O23" s="155">
        <f t="shared" si="16"/>
        <v>119663.84437008583</v>
      </c>
      <c r="P23" s="458">
        <f t="shared" si="17"/>
        <v>132191.99412828416</v>
      </c>
      <c r="Q23" s="458">
        <f t="shared" si="17"/>
        <v>144720.14388648252</v>
      </c>
      <c r="R23" s="458">
        <f t="shared" si="17"/>
        <v>157248.29364468085</v>
      </c>
      <c r="S23" s="458">
        <f t="shared" si="17"/>
        <v>169776.44340287917</v>
      </c>
      <c r="T23" s="187">
        <f>Kytuste_hind_maksud2030!$S$37</f>
        <v>182304.59316107753</v>
      </c>
      <c r="U23" s="155">
        <f t="shared" si="18"/>
        <v>179436.61475111195</v>
      </c>
      <c r="V23" s="729">
        <f t="shared" si="19"/>
        <v>176568.6363411464</v>
      </c>
      <c r="W23" s="729">
        <f t="shared" si="20"/>
        <v>175134.64713616361</v>
      </c>
      <c r="X23" s="729">
        <f>Kytused2050!S37</f>
        <v>170832.67952121526</v>
      </c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</row>
    <row r="24" spans="1:37" s="678" customFormat="1">
      <c r="A24" s="676"/>
      <c r="B24" s="673" t="s">
        <v>19</v>
      </c>
      <c r="C24" s="695">
        <v>1000</v>
      </c>
      <c r="D24" s="188">
        <f>SUM(D17:D23)</f>
        <v>539917.82378772972</v>
      </c>
      <c r="E24" s="188">
        <f t="shared" ref="E24:X24" si="21">SUM(E17:E23)</f>
        <v>613606.76913670916</v>
      </c>
      <c r="F24" s="188">
        <f t="shared" si="21"/>
        <v>613588.07201480481</v>
      </c>
      <c r="G24" s="188">
        <f t="shared" si="21"/>
        <v>613569.37489290058</v>
      </c>
      <c r="H24" s="188">
        <f t="shared" si="21"/>
        <v>613550.67777099612</v>
      </c>
      <c r="I24" s="188">
        <f t="shared" si="21"/>
        <v>613531.980649092</v>
      </c>
      <c r="J24" s="188">
        <f t="shared" si="21"/>
        <v>613513.28352718765</v>
      </c>
      <c r="K24" s="188">
        <f t="shared" si="21"/>
        <v>618427.95892095775</v>
      </c>
      <c r="L24" s="188">
        <f t="shared" si="21"/>
        <v>623342.63431472797</v>
      </c>
      <c r="M24" s="188">
        <f t="shared" si="21"/>
        <v>628257.30970849819</v>
      </c>
      <c r="N24" s="188">
        <f t="shared" si="21"/>
        <v>633171.98510226829</v>
      </c>
      <c r="O24" s="188">
        <f t="shared" si="21"/>
        <v>638086.6604960385</v>
      </c>
      <c r="P24" s="188">
        <f t="shared" si="21"/>
        <v>643001.33588980872</v>
      </c>
      <c r="Q24" s="188">
        <f t="shared" si="21"/>
        <v>647916.01128357893</v>
      </c>
      <c r="R24" s="188">
        <f t="shared" si="21"/>
        <v>652830.68667734915</v>
      </c>
      <c r="S24" s="188">
        <f t="shared" si="21"/>
        <v>657745.36207111925</v>
      </c>
      <c r="T24" s="188">
        <f t="shared" si="21"/>
        <v>662660.03746488946</v>
      </c>
      <c r="U24" s="188">
        <f t="shared" si="21"/>
        <v>607132.21612687979</v>
      </c>
      <c r="V24" s="736">
        <f t="shared" si="21"/>
        <v>551604.39478887012</v>
      </c>
      <c r="W24" s="736">
        <f t="shared" si="21"/>
        <v>523840.48411986523</v>
      </c>
      <c r="X24" s="736">
        <f t="shared" si="21"/>
        <v>440548.75211285072</v>
      </c>
      <c r="Y24" s="677"/>
      <c r="Z24" s="677"/>
      <c r="AA24" s="677"/>
      <c r="AB24" s="677"/>
      <c r="AC24" s="677"/>
      <c r="AD24" s="677"/>
      <c r="AE24" s="677"/>
      <c r="AF24" s="677"/>
      <c r="AG24" s="677"/>
      <c r="AH24" s="677"/>
      <c r="AI24" s="677"/>
      <c r="AJ24" s="677"/>
      <c r="AK24" s="677"/>
    </row>
    <row r="25" spans="1:37">
      <c r="A25" s="127"/>
      <c r="B25" s="129" t="s">
        <v>282</v>
      </c>
      <c r="C25" s="690"/>
      <c r="D25" s="155">
        <v>328754.11424651969</v>
      </c>
      <c r="E25" s="155">
        <f>AVERAGE(VS_TAK!D25,VS_TAK!J25)</f>
        <v>357868.18092902761</v>
      </c>
      <c r="F25" s="155">
        <f t="shared" ref="F25:I29" si="22">$E25+($J25-$E25)/5*(F$4-$E$4)</f>
        <v>352051.96393859276</v>
      </c>
      <c r="G25" s="155">
        <f t="shared" si="22"/>
        <v>346235.74694815796</v>
      </c>
      <c r="H25" s="155">
        <f t="shared" si="22"/>
        <v>340419.52995772311</v>
      </c>
      <c r="I25" s="155">
        <f t="shared" si="22"/>
        <v>334603.31296728831</v>
      </c>
      <c r="J25" s="187">
        <f>Transpordi_kytused_maksud2020!T37</f>
        <v>328787.09597685345</v>
      </c>
      <c r="K25" s="156">
        <f t="shared" si="15"/>
        <v>321248.90615879861</v>
      </c>
      <c r="L25" s="156">
        <f t="shared" si="15"/>
        <v>313710.71634074376</v>
      </c>
      <c r="M25" s="156">
        <f t="shared" si="15"/>
        <v>306172.52652268892</v>
      </c>
      <c r="N25" s="156">
        <f t="shared" si="15"/>
        <v>298634.33670463407</v>
      </c>
      <c r="O25" s="155">
        <f t="shared" si="16"/>
        <v>291096.14688657923</v>
      </c>
      <c r="P25" s="458">
        <f t="shared" si="17"/>
        <v>283557.95706852438</v>
      </c>
      <c r="Q25" s="458">
        <f t="shared" si="17"/>
        <v>276019.76725046954</v>
      </c>
      <c r="R25" s="458">
        <f t="shared" si="17"/>
        <v>268481.57743241463</v>
      </c>
      <c r="S25" s="458">
        <f t="shared" si="17"/>
        <v>260943.38761435979</v>
      </c>
      <c r="T25" s="187">
        <f>Kytuste_hind_maksud2030!T38</f>
        <v>253405.19779630494</v>
      </c>
      <c r="U25" s="155">
        <f t="shared" si="18"/>
        <v>213266.05019096695</v>
      </c>
      <c r="V25" s="729">
        <f>AVERAGE(T25,X25)</f>
        <v>173126.90258562897</v>
      </c>
      <c r="W25" s="729">
        <f>AVERAGE(U25,X25)</f>
        <v>153057.32878295999</v>
      </c>
      <c r="X25" s="729">
        <f>Kytused2050!T38</f>
        <v>92848.607374953004</v>
      </c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</row>
    <row r="26" spans="1:37">
      <c r="B26" s="129" t="s">
        <v>71</v>
      </c>
      <c r="C26" s="690"/>
      <c r="D26" s="155">
        <f>TransportBAU!D26</f>
        <v>92212.805344245047</v>
      </c>
      <c r="E26" s="155">
        <f>AVERAGE(VS_TAK!D26,VS_TAK!J26)</f>
        <v>97218.622900270653</v>
      </c>
      <c r="F26" s="155">
        <f t="shared" si="22"/>
        <v>96902.726170867259</v>
      </c>
      <c r="G26" s="155">
        <f t="shared" si="22"/>
        <v>96586.829441463866</v>
      </c>
      <c r="H26" s="155">
        <f t="shared" si="22"/>
        <v>96270.932712060458</v>
      </c>
      <c r="I26" s="155">
        <f t="shared" si="22"/>
        <v>95955.035982657064</v>
      </c>
      <c r="J26" s="187">
        <f>Transpordi_kytused_maksud2020!T38</f>
        <v>95639.13925325367</v>
      </c>
      <c r="K26" s="156">
        <f t="shared" si="15"/>
        <v>94823.013730115024</v>
      </c>
      <c r="L26" s="156">
        <f t="shared" si="15"/>
        <v>94006.888206976379</v>
      </c>
      <c r="M26" s="156">
        <f t="shared" si="15"/>
        <v>93190.762683837718</v>
      </c>
      <c r="N26" s="156">
        <f t="shared" si="15"/>
        <v>92374.637160699072</v>
      </c>
      <c r="O26" s="155">
        <f t="shared" si="16"/>
        <v>91558.511637560427</v>
      </c>
      <c r="P26" s="458">
        <f t="shared" si="17"/>
        <v>90742.386114421781</v>
      </c>
      <c r="Q26" s="458">
        <f t="shared" si="17"/>
        <v>89926.260591283135</v>
      </c>
      <c r="R26" s="458">
        <f t="shared" si="17"/>
        <v>89110.135068144475</v>
      </c>
      <c r="S26" s="458">
        <f t="shared" si="17"/>
        <v>88294.009545005829</v>
      </c>
      <c r="T26" s="187">
        <f>Kytuste_hind_maksud2030!T39</f>
        <v>87477.884021867183</v>
      </c>
      <c r="U26" s="155">
        <f t="shared" si="18"/>
        <v>78223.443082308004</v>
      </c>
      <c r="V26" s="729">
        <f>AVERAGE(T26,X26)</f>
        <v>68969.002142748825</v>
      </c>
      <c r="W26" s="729">
        <f>AVERAGE(U26,X26)</f>
        <v>64341.781672969242</v>
      </c>
      <c r="X26" s="729">
        <f>Kytused2050!T39</f>
        <v>50460.120263630481</v>
      </c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</row>
    <row r="27" spans="1:37">
      <c r="A27" s="127"/>
      <c r="B27" s="129" t="s">
        <v>58</v>
      </c>
      <c r="C27" s="690"/>
      <c r="D27" s="155">
        <f>SUM(D18:D19)*0.1</f>
        <v>53456.115408201018</v>
      </c>
      <c r="E27" s="155">
        <f>AVERAGE(VS_TAK!D27,VS_TAK!J27)</f>
        <v>60751.233144044272</v>
      </c>
      <c r="F27" s="155">
        <f t="shared" si="22"/>
        <v>60703.015601376159</v>
      </c>
      <c r="G27" s="155">
        <f t="shared" si="22"/>
        <v>60654.798058708046</v>
      </c>
      <c r="H27" s="155">
        <f t="shared" si="22"/>
        <v>60606.580516039932</v>
      </c>
      <c r="I27" s="155">
        <f t="shared" si="22"/>
        <v>60558.362973371819</v>
      </c>
      <c r="J27" s="187">
        <f>Transpordi_kytused_maksud2020!T39</f>
        <v>60510.145430703706</v>
      </c>
      <c r="K27" s="156">
        <f t="shared" si="15"/>
        <v>60710.547060815123</v>
      </c>
      <c r="L27" s="156">
        <f t="shared" si="15"/>
        <v>60910.94869092654</v>
      </c>
      <c r="M27" s="156">
        <f t="shared" si="15"/>
        <v>61111.350321037949</v>
      </c>
      <c r="N27" s="156">
        <f t="shared" si="15"/>
        <v>61311.751951149367</v>
      </c>
      <c r="O27" s="155">
        <f t="shared" si="16"/>
        <v>61512.153581260784</v>
      </c>
      <c r="P27" s="458">
        <f t="shared" si="17"/>
        <v>61712.555211372201</v>
      </c>
      <c r="Q27" s="458">
        <f t="shared" si="17"/>
        <v>61912.956841483618</v>
      </c>
      <c r="R27" s="458">
        <f t="shared" si="17"/>
        <v>62113.358471595027</v>
      </c>
      <c r="S27" s="458">
        <f t="shared" si="17"/>
        <v>62313.760101706444</v>
      </c>
      <c r="T27" s="187">
        <f>Kytuste_hind_maksud2030!T40</f>
        <v>62514.161731817861</v>
      </c>
      <c r="U27" s="155">
        <f t="shared" si="18"/>
        <v>56129.539058751732</v>
      </c>
      <c r="V27" s="729">
        <f>AVERAGE(T27,X27)</f>
        <v>49744.916385685596</v>
      </c>
      <c r="W27" s="729">
        <f>AVERAGE(U27,X27)</f>
        <v>46552.605049152531</v>
      </c>
      <c r="X27" s="729">
        <f>Kytused2050!T40</f>
        <v>36975.67103955333</v>
      </c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</row>
    <row r="28" spans="1:37" s="200" customFormat="1">
      <c r="A28" s="199"/>
      <c r="B28" s="129" t="s">
        <v>64</v>
      </c>
      <c r="C28" s="690"/>
      <c r="D28" s="155">
        <f>TransportBAU!D28</f>
        <v>3500</v>
      </c>
      <c r="E28" s="155">
        <f>AVERAGE(VS_TAK!D28,VS_TAK!J28)</f>
        <v>102300</v>
      </c>
      <c r="F28" s="155">
        <f t="shared" si="22"/>
        <v>123740</v>
      </c>
      <c r="G28" s="155">
        <f t="shared" si="22"/>
        <v>145180</v>
      </c>
      <c r="H28" s="155">
        <f t="shared" si="22"/>
        <v>166620</v>
      </c>
      <c r="I28" s="155">
        <f t="shared" si="22"/>
        <v>188060</v>
      </c>
      <c r="J28" s="187">
        <f>Meetmed_maksumustega2020!AE59</f>
        <v>209500</v>
      </c>
      <c r="K28" s="156">
        <f t="shared" si="15"/>
        <v>221950</v>
      </c>
      <c r="L28" s="156">
        <f t="shared" si="15"/>
        <v>234400</v>
      </c>
      <c r="M28" s="156">
        <f t="shared" si="15"/>
        <v>246850</v>
      </c>
      <c r="N28" s="156">
        <f t="shared" si="15"/>
        <v>259300</v>
      </c>
      <c r="O28" s="155">
        <f>AVERAGE(J28,T28)</f>
        <v>271750</v>
      </c>
      <c r="P28" s="458">
        <f t="shared" si="17"/>
        <v>284200</v>
      </c>
      <c r="Q28" s="458">
        <f t="shared" si="17"/>
        <v>296650</v>
      </c>
      <c r="R28" s="458">
        <f t="shared" si="17"/>
        <v>309100</v>
      </c>
      <c r="S28" s="458">
        <f t="shared" si="17"/>
        <v>321550</v>
      </c>
      <c r="T28" s="187">
        <f>Meetmed_maksumustega_2030!AF59</f>
        <v>334000</v>
      </c>
      <c r="U28" s="155">
        <f>T28*1.075</f>
        <v>359050</v>
      </c>
      <c r="V28" s="729">
        <f>U28*1.075</f>
        <v>385978.75</v>
      </c>
      <c r="W28" s="729">
        <f>V28*1.075</f>
        <v>414927.15625</v>
      </c>
      <c r="X28" s="729">
        <f>W28*1.075</f>
        <v>446046.69296874997</v>
      </c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</row>
    <row r="29" spans="1:37" s="202" customFormat="1">
      <c r="A29" s="201"/>
      <c r="B29" s="129" t="s">
        <v>95</v>
      </c>
      <c r="C29" s="690"/>
      <c r="D29" s="155">
        <f>D25+D28</f>
        <v>332254.11424651969</v>
      </c>
      <c r="E29" s="155">
        <f>AVERAGE(VS_TAK!D29,VS_TAK!J29)</f>
        <v>409018.18092902761</v>
      </c>
      <c r="F29" s="155">
        <f t="shared" si="22"/>
        <v>434871.96393859282</v>
      </c>
      <c r="G29" s="155">
        <f t="shared" si="22"/>
        <v>460725.74694815796</v>
      </c>
      <c r="H29" s="155">
        <f t="shared" si="22"/>
        <v>486579.52995772316</v>
      </c>
      <c r="I29" s="155">
        <f t="shared" si="22"/>
        <v>512433.31296728831</v>
      </c>
      <c r="J29" s="187">
        <f t="shared" ref="J29:X29" si="23">J25+J28</f>
        <v>538287.09597685351</v>
      </c>
      <c r="K29" s="156">
        <f t="shared" si="15"/>
        <v>543198.90615879861</v>
      </c>
      <c r="L29" s="156">
        <f t="shared" si="15"/>
        <v>548110.71634074382</v>
      </c>
      <c r="M29" s="156">
        <f t="shared" si="15"/>
        <v>553022.52652268892</v>
      </c>
      <c r="N29" s="156">
        <f t="shared" si="15"/>
        <v>557934.33670463413</v>
      </c>
      <c r="O29" s="155">
        <f t="shared" si="23"/>
        <v>562846.14688657923</v>
      </c>
      <c r="P29" s="458">
        <f t="shared" si="17"/>
        <v>567757.95706852432</v>
      </c>
      <c r="Q29" s="458">
        <f t="shared" si="17"/>
        <v>572669.76725046954</v>
      </c>
      <c r="R29" s="458">
        <f t="shared" si="17"/>
        <v>577581.57743241463</v>
      </c>
      <c r="S29" s="458">
        <f t="shared" si="17"/>
        <v>582493.38761435985</v>
      </c>
      <c r="T29" s="187">
        <f t="shared" si="23"/>
        <v>587405.19779630494</v>
      </c>
      <c r="U29" s="155">
        <f t="shared" si="23"/>
        <v>572316.05019096693</v>
      </c>
      <c r="V29" s="729">
        <f t="shared" si="23"/>
        <v>559105.65258562891</v>
      </c>
      <c r="W29" s="729">
        <f t="shared" si="23"/>
        <v>567984.48503295996</v>
      </c>
      <c r="X29" s="729">
        <f t="shared" si="23"/>
        <v>538895.30034370301</v>
      </c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</row>
    <row r="30" spans="1:37" s="191" customFormat="1" ht="15.75" thickBot="1">
      <c r="A30" s="189"/>
      <c r="B30" s="190" t="s">
        <v>96</v>
      </c>
      <c r="C30" s="696"/>
      <c r="D30" s="679">
        <f>D29-TransportBAU!D29</f>
        <v>0</v>
      </c>
      <c r="E30" s="679">
        <f>SUM(E24:E27)</f>
        <v>1129444.8061100517</v>
      </c>
      <c r="F30" s="679">
        <f t="shared" ref="F30:X30" si="24">SUM(F24:F27)</f>
        <v>1123245.7777256409</v>
      </c>
      <c r="G30" s="679">
        <f t="shared" si="24"/>
        <v>1117046.7493412304</v>
      </c>
      <c r="H30" s="679">
        <f t="shared" si="24"/>
        <v>1110847.7209568196</v>
      </c>
      <c r="I30" s="679">
        <f t="shared" si="24"/>
        <v>1104648.6925724093</v>
      </c>
      <c r="J30" s="679">
        <f t="shared" si="24"/>
        <v>1098449.6641879985</v>
      </c>
      <c r="K30" s="679">
        <f t="shared" si="24"/>
        <v>1095210.4258706865</v>
      </c>
      <c r="L30" s="679">
        <f t="shared" si="24"/>
        <v>1091971.1875533746</v>
      </c>
      <c r="M30" s="679">
        <f t="shared" si="24"/>
        <v>1088731.9492360628</v>
      </c>
      <c r="N30" s="679">
        <f t="shared" si="24"/>
        <v>1085492.7109187508</v>
      </c>
      <c r="O30" s="679">
        <f t="shared" si="24"/>
        <v>1082253.4726014389</v>
      </c>
      <c r="P30" s="679">
        <f t="shared" si="24"/>
        <v>1079014.2342841271</v>
      </c>
      <c r="Q30" s="679">
        <f t="shared" si="24"/>
        <v>1075774.9959668152</v>
      </c>
      <c r="R30" s="679">
        <f t="shared" si="24"/>
        <v>1072535.7576495032</v>
      </c>
      <c r="S30" s="679">
        <f t="shared" si="24"/>
        <v>1069296.5193321914</v>
      </c>
      <c r="T30" s="679">
        <f t="shared" si="24"/>
        <v>1066057.2810148795</v>
      </c>
      <c r="U30" s="679">
        <f t="shared" si="24"/>
        <v>954751.24845890654</v>
      </c>
      <c r="V30" s="679">
        <f t="shared" si="24"/>
        <v>843445.21590293339</v>
      </c>
      <c r="W30" s="679">
        <f t="shared" si="24"/>
        <v>787792.19962494692</v>
      </c>
      <c r="X30" s="679">
        <f t="shared" si="24"/>
        <v>620833.15079098765</v>
      </c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</row>
    <row r="31" spans="1:37" ht="15.75" thickBot="1">
      <c r="B31" s="684"/>
      <c r="C31" s="697"/>
      <c r="D31" s="685">
        <f>EE!D4</f>
        <v>2010</v>
      </c>
      <c r="E31" s="685">
        <f>EE!E4</f>
        <v>2015</v>
      </c>
      <c r="F31" s="685">
        <f>F4</f>
        <v>2016</v>
      </c>
      <c r="G31" s="685">
        <f t="shared" ref="G31:T31" si="25">G4</f>
        <v>2017</v>
      </c>
      <c r="H31" s="685">
        <f t="shared" si="25"/>
        <v>2018</v>
      </c>
      <c r="I31" s="685">
        <f t="shared" si="25"/>
        <v>2019</v>
      </c>
      <c r="J31" s="685">
        <f t="shared" si="25"/>
        <v>2020</v>
      </c>
      <c r="K31" s="685">
        <f t="shared" si="25"/>
        <v>2021</v>
      </c>
      <c r="L31" s="685">
        <f t="shared" si="25"/>
        <v>2022</v>
      </c>
      <c r="M31" s="685">
        <f t="shared" si="25"/>
        <v>2023</v>
      </c>
      <c r="N31" s="685">
        <f t="shared" si="25"/>
        <v>2024</v>
      </c>
      <c r="O31" s="685">
        <f t="shared" si="25"/>
        <v>2025</v>
      </c>
      <c r="P31" s="685">
        <f t="shared" si="25"/>
        <v>2026</v>
      </c>
      <c r="Q31" s="685">
        <f t="shared" si="25"/>
        <v>2027</v>
      </c>
      <c r="R31" s="685">
        <f t="shared" si="25"/>
        <v>2028</v>
      </c>
      <c r="S31" s="685">
        <f t="shared" si="25"/>
        <v>2029</v>
      </c>
      <c r="T31" s="685">
        <f t="shared" si="25"/>
        <v>2030</v>
      </c>
      <c r="U31" s="685">
        <f>EE!I4</f>
        <v>2035</v>
      </c>
      <c r="V31" s="737">
        <f>EE!J4</f>
        <v>2040</v>
      </c>
      <c r="W31" s="737">
        <f>EE!K4</f>
        <v>2045</v>
      </c>
      <c r="X31" s="738">
        <f>EE!L4</f>
        <v>2050</v>
      </c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</row>
    <row r="32" spans="1:37">
      <c r="A32" s="127"/>
      <c r="B32" s="682" t="str">
        <f>EE!B5</f>
        <v>Investeeringud</v>
      </c>
      <c r="C32" s="698">
        <v>1000</v>
      </c>
      <c r="D32" s="682"/>
      <c r="E32" s="683">
        <f>SUM(E33,E37,E40)</f>
        <v>755511.77217046195</v>
      </c>
      <c r="F32" s="683">
        <f t="shared" ref="F32:T32" si="26">SUM(F33,F37,F40)</f>
        <v>750658.36673763103</v>
      </c>
      <c r="G32" s="683">
        <f t="shared" si="26"/>
        <v>745804.96130480035</v>
      </c>
      <c r="H32" s="683">
        <f t="shared" si="26"/>
        <v>740951.55587196932</v>
      </c>
      <c r="I32" s="683">
        <f t="shared" si="26"/>
        <v>736098.15043913841</v>
      </c>
      <c r="J32" s="683">
        <f t="shared" si="26"/>
        <v>736244.74500630761</v>
      </c>
      <c r="K32" s="683">
        <f t="shared" si="26"/>
        <v>739318.09471760935</v>
      </c>
      <c r="L32" s="683">
        <f t="shared" si="26"/>
        <v>742391.44442891108</v>
      </c>
      <c r="M32" s="683">
        <f t="shared" si="26"/>
        <v>745464.7941402127</v>
      </c>
      <c r="N32" s="683">
        <f t="shared" si="26"/>
        <v>748538.14385151456</v>
      </c>
      <c r="O32" s="683">
        <f t="shared" si="26"/>
        <v>751611.49356281629</v>
      </c>
      <c r="P32" s="683">
        <f t="shared" si="26"/>
        <v>742742.12015815242</v>
      </c>
      <c r="Q32" s="683">
        <f t="shared" si="26"/>
        <v>733872.74675348867</v>
      </c>
      <c r="R32" s="683">
        <f t="shared" si="26"/>
        <v>725003.3733488248</v>
      </c>
      <c r="S32" s="683">
        <f t="shared" si="26"/>
        <v>716133.99994416093</v>
      </c>
      <c r="T32" s="683">
        <f t="shared" si="26"/>
        <v>707264.62653949717</v>
      </c>
      <c r="U32" s="683">
        <f>EE!I5*1000</f>
        <v>700156.11454776127</v>
      </c>
      <c r="V32" s="739">
        <f>EE!J5*1000</f>
        <v>702900.76922269212</v>
      </c>
      <c r="W32" s="739">
        <f>EE!K5*1000</f>
        <v>704417.92389762308</v>
      </c>
      <c r="X32" s="739">
        <f>EE!L5*1000</f>
        <v>706718.57857255382</v>
      </c>
      <c r="Y32" s="234"/>
      <c r="Z32" s="234" t="str">
        <f>EE!N5</f>
        <v>Investeering on siin tabelis uue infra ehitus või põhjalik rekonstrueerimine</v>
      </c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</row>
    <row r="33" spans="1:37">
      <c r="A33" s="127"/>
      <c r="B33" s="217" t="str">
        <f>EE!B6</f>
        <v>Maanteed ja tänavad</v>
      </c>
      <c r="C33" s="699"/>
      <c r="D33" s="218"/>
      <c r="E33" s="457">
        <f>SUM(E34:E36)</f>
        <v>99736.849093538825</v>
      </c>
      <c r="F33" s="457">
        <f t="shared" ref="F33:S33" si="27">SUM(F34:F36)</f>
        <v>97462.413404297695</v>
      </c>
      <c r="G33" s="457">
        <f t="shared" si="27"/>
        <v>95187.977715056564</v>
      </c>
      <c r="H33" s="457">
        <f t="shared" si="27"/>
        <v>92913.542025815448</v>
      </c>
      <c r="I33" s="457">
        <f t="shared" si="27"/>
        <v>90639.106336574332</v>
      </c>
      <c r="J33" s="457">
        <f t="shared" si="27"/>
        <v>88364.670647333216</v>
      </c>
      <c r="K33" s="457">
        <f t="shared" si="27"/>
        <v>88710.448050942636</v>
      </c>
      <c r="L33" s="457">
        <f t="shared" si="27"/>
        <v>89056.225454552099</v>
      </c>
      <c r="M33" s="457">
        <f t="shared" si="27"/>
        <v>89402.002858161519</v>
      </c>
      <c r="N33" s="457">
        <f t="shared" si="27"/>
        <v>89747.780261770968</v>
      </c>
      <c r="O33" s="457">
        <f t="shared" si="27"/>
        <v>90093.557665380402</v>
      </c>
      <c r="P33" s="457">
        <f t="shared" si="27"/>
        <v>90316.684260716574</v>
      </c>
      <c r="Q33" s="457">
        <f t="shared" si="27"/>
        <v>90539.810856052733</v>
      </c>
      <c r="R33" s="457">
        <f t="shared" si="27"/>
        <v>90762.937451388891</v>
      </c>
      <c r="S33" s="457">
        <f t="shared" si="27"/>
        <v>90986.064046725063</v>
      </c>
      <c r="T33" s="457">
        <f>EE!H6*1000</f>
        <v>91209.190642061236</v>
      </c>
      <c r="U33" s="457">
        <f>EE!I6*1000</f>
        <v>92239.845316992069</v>
      </c>
      <c r="V33" s="740">
        <f>EE!J6*1000</f>
        <v>93270.499991922916</v>
      </c>
      <c r="W33" s="740">
        <f>EE!K6*1000</f>
        <v>94301.154666853763</v>
      </c>
      <c r="X33" s="740">
        <f>EE!L6*1000</f>
        <v>95331.809341784625</v>
      </c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</row>
    <row r="34" spans="1:37">
      <c r="A34" s="127"/>
      <c r="B34" s="222" t="str">
        <f>EE!B7</f>
        <v>Riik KOV teedele</v>
      </c>
      <c r="C34" s="700"/>
      <c r="D34" s="223"/>
      <c r="E34" s="458">
        <f>EE!E7*1000</f>
        <v>12800</v>
      </c>
      <c r="F34" s="458">
        <f>$E34+($J34-$E34)/5*(F$4-$E$4)</f>
        <v>13160.355733511013</v>
      </c>
      <c r="G34" s="458">
        <f t="shared" ref="G34:I36" si="28">$E34+($J34-$E34)/5*(G$4-$E$4)</f>
        <v>13520.711467022025</v>
      </c>
      <c r="H34" s="458">
        <f t="shared" si="28"/>
        <v>13881.067200533038</v>
      </c>
      <c r="I34" s="458">
        <f t="shared" si="28"/>
        <v>14241.422934044052</v>
      </c>
      <c r="J34" s="458">
        <f>EE!F7*1000</f>
        <v>14601.778667555065</v>
      </c>
      <c r="K34" s="458">
        <f>$J34+($O34-$J34)/5*(K$4-$J$4)</f>
        <v>14513.883723139012</v>
      </c>
      <c r="L34" s="458">
        <f t="shared" ref="L34:N36" si="29">$J34+($O34-$J34)/5*(L$4-$J$4)</f>
        <v>14425.98877872296</v>
      </c>
      <c r="M34" s="458">
        <f t="shared" si="29"/>
        <v>14338.093834306907</v>
      </c>
      <c r="N34" s="458">
        <f t="shared" si="29"/>
        <v>14250.198889890855</v>
      </c>
      <c r="O34" s="458">
        <f>EE!G7*1000</f>
        <v>14162.303945474801</v>
      </c>
      <c r="P34" s="458">
        <f>$O34+($T34-$O34)/5*(P$4-$O$4)</f>
        <v>14377.767042469939</v>
      </c>
      <c r="Q34" s="458">
        <f t="shared" ref="Q34:S38" si="30">$O34+($T34-$O34)/5*(Q$4-$O$4)</f>
        <v>14593.230139465077</v>
      </c>
      <c r="R34" s="458">
        <f t="shared" si="30"/>
        <v>14808.693236460214</v>
      </c>
      <c r="S34" s="458">
        <f t="shared" si="30"/>
        <v>15024.156333455352</v>
      </c>
      <c r="T34" s="458">
        <f>EE!H7*1000</f>
        <v>15239.61943045049</v>
      </c>
      <c r="U34" s="458">
        <f>EE!I7*1000</f>
        <v>15747.595331278999</v>
      </c>
      <c r="V34" s="741">
        <f>EE!J7*1000</f>
        <v>16255.57123210751</v>
      </c>
      <c r="W34" s="741">
        <f>EE!K7*1000</f>
        <v>16763.547132936023</v>
      </c>
      <c r="X34" s="741">
        <f>EE!L7*1000</f>
        <v>17271.52303376453</v>
      </c>
      <c r="Y34" s="234"/>
      <c r="Z34" s="234" t="str">
        <f>EE!N7</f>
        <v>Raha on vaja mitte autodele, vaid kergliiklusele, road diet, rahustamine, liiklusohutus</v>
      </c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</row>
    <row r="35" spans="1:37">
      <c r="A35" s="127"/>
      <c r="B35" s="227" t="str">
        <f>EE!B8</f>
        <v>Riik maanteedele</v>
      </c>
      <c r="C35" s="700"/>
      <c r="D35" s="223"/>
      <c r="E35" s="458">
        <f>EE!E8*1000</f>
        <v>70000</v>
      </c>
      <c r="F35" s="458">
        <f>$E35+($J35-$E35)/5*(F$4-$E$4)</f>
        <v>66872.677207148139</v>
      </c>
      <c r="G35" s="458">
        <f t="shared" si="28"/>
        <v>63745.354414296278</v>
      </c>
      <c r="H35" s="458">
        <f t="shared" si="28"/>
        <v>60618.031621444417</v>
      </c>
      <c r="I35" s="458">
        <f t="shared" si="28"/>
        <v>57490.708828592564</v>
      </c>
      <c r="J35" s="458">
        <f>EE!F8*1000</f>
        <v>54363.386035740703</v>
      </c>
      <c r="K35" s="458">
        <f>$J35+($O35-$J35)/5*(K$4-$J$4)</f>
        <v>54509.712504625364</v>
      </c>
      <c r="L35" s="458">
        <f t="shared" si="29"/>
        <v>54656.038973510033</v>
      </c>
      <c r="M35" s="458">
        <f t="shared" si="29"/>
        <v>54802.365442394694</v>
      </c>
      <c r="N35" s="458">
        <f t="shared" si="29"/>
        <v>54948.691911279362</v>
      </c>
      <c r="O35" s="458">
        <f>EE!G8*1000</f>
        <v>55095.018380164023</v>
      </c>
      <c r="P35" s="458">
        <f>$O35+($T35-$O35)/5*(P$4-$O$4)</f>
        <v>54815.33599936423</v>
      </c>
      <c r="Q35" s="458">
        <f t="shared" si="30"/>
        <v>54535.653618564429</v>
      </c>
      <c r="R35" s="458">
        <f t="shared" si="30"/>
        <v>54255.971237764636</v>
      </c>
      <c r="S35" s="458">
        <f t="shared" si="30"/>
        <v>53976.288856964835</v>
      </c>
      <c r="T35" s="458">
        <f>EE!H8*1000</f>
        <v>53696.606476165041</v>
      </c>
      <c r="U35" s="458">
        <f>EE!I8*1000</f>
        <v>53643.84735596527</v>
      </c>
      <c r="V35" s="741">
        <f>EE!J8*1000</f>
        <v>53591.088235765499</v>
      </c>
      <c r="W35" s="741">
        <f>EE!K8*1000</f>
        <v>53538.329115565735</v>
      </c>
      <c r="X35" s="741">
        <f>EE!L8*1000</f>
        <v>53485.569995365971</v>
      </c>
      <c r="Y35" s="234"/>
      <c r="Z35" s="234" t="str">
        <f>EE!N8</f>
        <v>Proportsionaalne sõiduautode läbisõidu kasvuga, investeeringud tingib läbilaskvuse tõstmise vajadus</v>
      </c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</row>
    <row r="36" spans="1:37">
      <c r="A36" s="127"/>
      <c r="B36" s="227" t="str">
        <f>EE!B9</f>
        <v>KOV teedele</v>
      </c>
      <c r="C36" s="700"/>
      <c r="D36" s="223"/>
      <c r="E36" s="458">
        <f>EE!E9*1000</f>
        <v>16936.849093538822</v>
      </c>
      <c r="F36" s="458">
        <f>$E36+($J36-$E36)/5*(F$4-$E$4)</f>
        <v>17429.380463638547</v>
      </c>
      <c r="G36" s="458">
        <f t="shared" si="28"/>
        <v>17921.911833738272</v>
      </c>
      <c r="H36" s="458">
        <f t="shared" si="28"/>
        <v>18414.443203837993</v>
      </c>
      <c r="I36" s="458">
        <f t="shared" si="28"/>
        <v>18906.974573937718</v>
      </c>
      <c r="J36" s="458">
        <f>EE!F9*1000</f>
        <v>19399.505944037443</v>
      </c>
      <c r="K36" s="458">
        <f>$J36+($O36-$J36)/5*(K$4-$J$4)</f>
        <v>19686.851823178269</v>
      </c>
      <c r="L36" s="458">
        <f t="shared" si="29"/>
        <v>19974.197702319096</v>
      </c>
      <c r="M36" s="458">
        <f t="shared" si="29"/>
        <v>20261.543581459922</v>
      </c>
      <c r="N36" s="458">
        <f t="shared" si="29"/>
        <v>20548.889460600749</v>
      </c>
      <c r="O36" s="458">
        <f>EE!G9*1000</f>
        <v>20836.235339741575</v>
      </c>
      <c r="P36" s="458">
        <f>$O36+($T36-$O36)/5*(P$4-$O$4)</f>
        <v>21123.581218882402</v>
      </c>
      <c r="Q36" s="458">
        <f t="shared" si="30"/>
        <v>21410.927098023225</v>
      </c>
      <c r="R36" s="458">
        <f t="shared" si="30"/>
        <v>21698.272977164052</v>
      </c>
      <c r="S36" s="458">
        <f t="shared" si="30"/>
        <v>21985.618856304874</v>
      </c>
      <c r="T36" s="458">
        <f>EE!H9*1000</f>
        <v>22272.964735445701</v>
      </c>
      <c r="U36" s="458">
        <f>EE!I9*1000</f>
        <v>22848.402629747801</v>
      </c>
      <c r="V36" s="741">
        <f>EE!J9*1000</f>
        <v>23423.840524049909</v>
      </c>
      <c r="W36" s="741">
        <f>EE!K9*1000</f>
        <v>23999.278418352013</v>
      </c>
      <c r="X36" s="741">
        <f>EE!L9*1000</f>
        <v>24574.716312654116</v>
      </c>
      <c r="Y36" s="234"/>
      <c r="Z36" s="234" t="str">
        <f>EE!N9</f>
        <v>Raha on vaja mitte autodele, vaid kergliiklusele, road diet, rahustamine, liiklusohutus</v>
      </c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</row>
    <row r="37" spans="1:37">
      <c r="A37" s="127"/>
      <c r="B37" s="217" t="str">
        <f>EE!B10</f>
        <v>Raudteed</v>
      </c>
      <c r="C37" s="699"/>
      <c r="D37" s="218"/>
      <c r="E37" s="457">
        <f>SUM(E38:E39)</f>
        <v>0</v>
      </c>
      <c r="F37" s="457">
        <f t="shared" ref="F37:T37" si="31">SUM(F38:F39)</f>
        <v>0</v>
      </c>
      <c r="G37" s="457">
        <f t="shared" si="31"/>
        <v>0</v>
      </c>
      <c r="H37" s="457">
        <f t="shared" si="31"/>
        <v>0</v>
      </c>
      <c r="I37" s="457">
        <f t="shared" si="31"/>
        <v>0</v>
      </c>
      <c r="J37" s="457">
        <f t="shared" si="31"/>
        <v>5000</v>
      </c>
      <c r="K37" s="457">
        <f t="shared" si="31"/>
        <v>5000</v>
      </c>
      <c r="L37" s="457">
        <f t="shared" si="31"/>
        <v>5000</v>
      </c>
      <c r="M37" s="457">
        <f t="shared" si="31"/>
        <v>5000</v>
      </c>
      <c r="N37" s="457">
        <f t="shared" si="31"/>
        <v>5000</v>
      </c>
      <c r="O37" s="457">
        <f t="shared" si="31"/>
        <v>5000</v>
      </c>
      <c r="P37" s="457">
        <f t="shared" si="31"/>
        <v>5000</v>
      </c>
      <c r="Q37" s="457">
        <f t="shared" si="31"/>
        <v>5000</v>
      </c>
      <c r="R37" s="457">
        <f t="shared" si="31"/>
        <v>5000</v>
      </c>
      <c r="S37" s="457">
        <f t="shared" si="31"/>
        <v>5000</v>
      </c>
      <c r="T37" s="457">
        <f t="shared" si="31"/>
        <v>5000</v>
      </c>
      <c r="U37" s="457">
        <f>EE!I10*1000</f>
        <v>5000</v>
      </c>
      <c r="V37" s="740">
        <f>EE!J10*1000</f>
        <v>5000</v>
      </c>
      <c r="W37" s="740">
        <f>EE!K10*1000</f>
        <v>5000</v>
      </c>
      <c r="X37" s="740">
        <f>EE!L10*1000</f>
        <v>5000</v>
      </c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</row>
    <row r="38" spans="1:37">
      <c r="A38" s="127"/>
      <c r="B38" s="228" t="str">
        <f>EE!B11</f>
        <v>Kiiruse tõstmine 160 peale</v>
      </c>
      <c r="C38" s="701"/>
      <c r="D38" s="229"/>
      <c r="E38" s="459">
        <f>EE!E11*1000</f>
        <v>0</v>
      </c>
      <c r="F38" s="459"/>
      <c r="G38" s="459"/>
      <c r="H38" s="459"/>
      <c r="I38" s="459"/>
      <c r="J38" s="459">
        <f>EE!F11*1000</f>
        <v>5000</v>
      </c>
      <c r="K38" s="459">
        <f>EE!G11*1000</f>
        <v>5000</v>
      </c>
      <c r="L38" s="459">
        <f>EE!H11*1000</f>
        <v>5000</v>
      </c>
      <c r="M38" s="459">
        <f>EE!I11*1000</f>
        <v>5000</v>
      </c>
      <c r="N38" s="459">
        <f>EE!J11*1000</f>
        <v>5000</v>
      </c>
      <c r="O38" s="459">
        <f>EE!G11*1000</f>
        <v>5000</v>
      </c>
      <c r="P38" s="458">
        <f>$O38+($T38-$O38)/5*(P$4-$O$4)</f>
        <v>5000</v>
      </c>
      <c r="Q38" s="458">
        <f t="shared" si="30"/>
        <v>5000</v>
      </c>
      <c r="R38" s="458">
        <f t="shared" si="30"/>
        <v>5000</v>
      </c>
      <c r="S38" s="458">
        <f t="shared" si="30"/>
        <v>5000</v>
      </c>
      <c r="T38" s="459">
        <f>EE!H11*1000</f>
        <v>5000</v>
      </c>
      <c r="U38" s="459">
        <f>EE!I11*1000</f>
        <v>5000</v>
      </c>
      <c r="V38" s="742">
        <f>EE!J11*1000</f>
        <v>5000</v>
      </c>
      <c r="W38" s="742">
        <f>EE!K11*1000</f>
        <v>5000</v>
      </c>
      <c r="X38" s="742">
        <f>EE!L11*1000</f>
        <v>5000</v>
      </c>
      <c r="Y38" s="234"/>
      <c r="Z38" s="234" t="str">
        <f>EE!N11</f>
        <v>Ühekordne investeering 200, jaotatud 40 aasta peale</v>
      </c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</row>
    <row r="39" spans="1:37">
      <c r="A39" s="127"/>
      <c r="B39" s="228" t="str">
        <f>EE!B12</f>
        <v>Muud investeeringud</v>
      </c>
      <c r="C39" s="701"/>
      <c r="D39" s="229"/>
      <c r="E39" s="459">
        <f>EE!E12*1000</f>
        <v>0</v>
      </c>
      <c r="F39" s="459"/>
      <c r="G39" s="459"/>
      <c r="H39" s="459"/>
      <c r="I39" s="459"/>
      <c r="J39" s="459">
        <f>EE!F12*1000</f>
        <v>0</v>
      </c>
      <c r="K39" s="459"/>
      <c r="L39" s="459"/>
      <c r="M39" s="459"/>
      <c r="N39" s="459"/>
      <c r="O39" s="459">
        <f>EE!G12*1000</f>
        <v>0</v>
      </c>
      <c r="P39" s="459"/>
      <c r="Q39" s="459"/>
      <c r="R39" s="459"/>
      <c r="S39" s="459"/>
      <c r="T39" s="459">
        <f>EE!H12*1000</f>
        <v>0</v>
      </c>
      <c r="U39" s="459">
        <f>EE!I12*1000</f>
        <v>0</v>
      </c>
      <c r="V39" s="742">
        <f>EE!J12*1000</f>
        <v>0</v>
      </c>
      <c r="W39" s="742">
        <f>EE!K12*1000</f>
        <v>0</v>
      </c>
      <c r="X39" s="742">
        <f>EE!L12*1000</f>
        <v>0</v>
      </c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</row>
    <row r="40" spans="1:37">
      <c r="A40" s="127"/>
      <c r="B40" s="217" t="str">
        <f>EE!B13</f>
        <v>Autode import</v>
      </c>
      <c r="C40" s="699"/>
      <c r="D40" s="218"/>
      <c r="E40" s="457">
        <f>SUM(E41:E44)</f>
        <v>655774.92307692312</v>
      </c>
      <c r="F40" s="457">
        <f t="shared" ref="F40:T40" si="32">SUM(F41:F44)</f>
        <v>653195.95333333337</v>
      </c>
      <c r="G40" s="457">
        <f t="shared" si="32"/>
        <v>650616.98358974373</v>
      </c>
      <c r="H40" s="457">
        <f t="shared" si="32"/>
        <v>648038.01384615386</v>
      </c>
      <c r="I40" s="457">
        <f t="shared" si="32"/>
        <v>645459.0441025641</v>
      </c>
      <c r="J40" s="457">
        <f t="shared" si="32"/>
        <v>642880.07435897435</v>
      </c>
      <c r="K40" s="457">
        <f t="shared" si="32"/>
        <v>645607.64666666673</v>
      </c>
      <c r="L40" s="457">
        <f t="shared" si="32"/>
        <v>648335.21897435898</v>
      </c>
      <c r="M40" s="457">
        <f t="shared" si="32"/>
        <v>651062.79128205124</v>
      </c>
      <c r="N40" s="457">
        <f t="shared" si="32"/>
        <v>653790.36358974362</v>
      </c>
      <c r="O40" s="457">
        <f t="shared" si="32"/>
        <v>656517.93589743588</v>
      </c>
      <c r="P40" s="457">
        <f t="shared" si="32"/>
        <v>647425.43589743588</v>
      </c>
      <c r="Q40" s="457">
        <f t="shared" si="32"/>
        <v>638332.93589743588</v>
      </c>
      <c r="R40" s="457">
        <f t="shared" si="32"/>
        <v>629240.43589743588</v>
      </c>
      <c r="S40" s="457">
        <f t="shared" si="32"/>
        <v>620147.93589743588</v>
      </c>
      <c r="T40" s="457">
        <f t="shared" si="32"/>
        <v>611055.43589743588</v>
      </c>
      <c r="U40" s="457">
        <f>EE!I13*1000</f>
        <v>602916.26923076925</v>
      </c>
      <c r="V40" s="740">
        <f>EE!J13*1000</f>
        <v>604630.26923076925</v>
      </c>
      <c r="W40" s="740">
        <f>EE!K13*1000</f>
        <v>605116.76923076925</v>
      </c>
      <c r="X40" s="740">
        <f>EE!L13*1000</f>
        <v>606386.76923076925</v>
      </c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</row>
    <row r="41" spans="1:37">
      <c r="A41" s="127"/>
      <c r="B41" s="227" t="str">
        <f>EE!B14</f>
        <v>Uued siseturule (eraisikud)</v>
      </c>
      <c r="C41" s="700"/>
      <c r="D41" s="223"/>
      <c r="E41" s="458">
        <f>EE!E14*1000</f>
        <v>135765.30769230772</v>
      </c>
      <c r="F41" s="458">
        <f t="shared" ref="F41:I44" si="33">$E41+($J41-$E41)/5*(F$4-$E$4)</f>
        <v>140983.45333333337</v>
      </c>
      <c r="G41" s="458">
        <f t="shared" si="33"/>
        <v>146201.59897435899</v>
      </c>
      <c r="H41" s="458">
        <f t="shared" si="33"/>
        <v>151419.74461538464</v>
      </c>
      <c r="I41" s="458">
        <f t="shared" si="33"/>
        <v>156637.89025641026</v>
      </c>
      <c r="J41" s="458">
        <f>EE!F14*1000</f>
        <v>161856.03589743591</v>
      </c>
      <c r="K41" s="458">
        <f t="shared" ref="K41:N44" si="34">$J41+($O41-$J41)/5*(K$4-$J$4)</f>
        <v>168607.6466666667</v>
      </c>
      <c r="L41" s="458">
        <f t="shared" si="34"/>
        <v>175359.25743589745</v>
      </c>
      <c r="M41" s="458">
        <f t="shared" si="34"/>
        <v>182110.86820512824</v>
      </c>
      <c r="N41" s="458">
        <f t="shared" si="34"/>
        <v>188862.47897435899</v>
      </c>
      <c r="O41" s="458">
        <f>EE!G14*1000</f>
        <v>195614.08974358978</v>
      </c>
      <c r="P41" s="458">
        <f t="shared" ref="P41:S44" si="35">$O41+($T41-$O41)/5*(P$4-$O$4)</f>
        <v>196084.08974358978</v>
      </c>
      <c r="Q41" s="458">
        <f t="shared" si="35"/>
        <v>196554.08974358978</v>
      </c>
      <c r="R41" s="458">
        <f t="shared" si="35"/>
        <v>197024.08974358978</v>
      </c>
      <c r="S41" s="458">
        <f t="shared" si="35"/>
        <v>197494.08974358978</v>
      </c>
      <c r="T41" s="458">
        <f>EE!H14*1000</f>
        <v>197964.08974358978</v>
      </c>
      <c r="U41" s="458">
        <f>EE!I14*1000</f>
        <v>208949.92307692309</v>
      </c>
      <c r="V41" s="741">
        <f>EE!J14*1000</f>
        <v>210663.92307692309</v>
      </c>
      <c r="W41" s="741">
        <f>EE!K14*1000</f>
        <v>211150.42307692306</v>
      </c>
      <c r="X41" s="741">
        <f>EE!L14*1000</f>
        <v>212420.42307692306</v>
      </c>
      <c r="Y41" s="234"/>
      <c r="Z41" s="234" t="str">
        <f>EE!N14</f>
        <v>Proportsionaalne sõiduautode läbisõidu kasvuga, investeeringud tingib läbilaskvuse tõstmise vajadus</v>
      </c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</row>
    <row r="42" spans="1:37">
      <c r="A42" s="127"/>
      <c r="B42" s="227" t="str">
        <f>EE!B15</f>
        <v>Uued siseturule (ettevõtted)</v>
      </c>
      <c r="C42" s="700"/>
      <c r="D42" s="223"/>
      <c r="E42" s="458">
        <f>EE!E15*1000</f>
        <v>271384.61538461543</v>
      </c>
      <c r="F42" s="458">
        <f t="shared" si="33"/>
        <v>280800.00000000006</v>
      </c>
      <c r="G42" s="458">
        <f t="shared" si="33"/>
        <v>290215.38461538468</v>
      </c>
      <c r="H42" s="458">
        <f t="shared" si="33"/>
        <v>299630.76923076925</v>
      </c>
      <c r="I42" s="458">
        <f t="shared" si="33"/>
        <v>309046.15384615387</v>
      </c>
      <c r="J42" s="458">
        <f>EE!F15*1000</f>
        <v>318461.5384615385</v>
      </c>
      <c r="K42" s="458">
        <f t="shared" si="34"/>
        <v>324000</v>
      </c>
      <c r="L42" s="458">
        <f t="shared" si="34"/>
        <v>329538.46153846156</v>
      </c>
      <c r="M42" s="458">
        <f t="shared" si="34"/>
        <v>335076.92307692306</v>
      </c>
      <c r="N42" s="458">
        <f t="shared" si="34"/>
        <v>340615.38461538462</v>
      </c>
      <c r="O42" s="458">
        <f>EE!G15*1000</f>
        <v>346153.84615384613</v>
      </c>
      <c r="P42" s="458">
        <f t="shared" si="35"/>
        <v>346153.84615384613</v>
      </c>
      <c r="Q42" s="458">
        <f t="shared" si="35"/>
        <v>346153.84615384613</v>
      </c>
      <c r="R42" s="458">
        <f t="shared" si="35"/>
        <v>346153.84615384613</v>
      </c>
      <c r="S42" s="458">
        <f t="shared" si="35"/>
        <v>346153.84615384613</v>
      </c>
      <c r="T42" s="458">
        <f>EE!H15*1000</f>
        <v>346153.84615384613</v>
      </c>
      <c r="U42" s="458">
        <f>EE!I15*1000</f>
        <v>346153.84615384613</v>
      </c>
      <c r="V42" s="741">
        <f>EE!J15*1000</f>
        <v>346153.84615384613</v>
      </c>
      <c r="W42" s="741">
        <f>EE!K15*1000</f>
        <v>346153.84615384613</v>
      </c>
      <c r="X42" s="741">
        <f>EE!L15*1000</f>
        <v>346153.84615384613</v>
      </c>
      <c r="Y42" s="234"/>
      <c r="Z42" s="234" t="str">
        <f>EE!N15</f>
        <v>Proportsionaalne sõiduautode läbisõidu kasvuga, investeeringud tingib läbilaskvuse tõstmise vajadus</v>
      </c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</row>
    <row r="43" spans="1:37">
      <c r="A43" s="127"/>
      <c r="B43" s="227" t="str">
        <f>EE!B16</f>
        <v>Kasutatud siseturule (eraisikud)</v>
      </c>
      <c r="C43" s="700"/>
      <c r="D43" s="223"/>
      <c r="E43" s="458">
        <f>EE!E16*1000</f>
        <v>175500</v>
      </c>
      <c r="F43" s="458">
        <f t="shared" si="33"/>
        <v>163350</v>
      </c>
      <c r="G43" s="458">
        <f t="shared" si="33"/>
        <v>151200</v>
      </c>
      <c r="H43" s="458">
        <f t="shared" si="33"/>
        <v>139050</v>
      </c>
      <c r="I43" s="458">
        <f t="shared" si="33"/>
        <v>126900</v>
      </c>
      <c r="J43" s="458">
        <f>EE!F16*1000</f>
        <v>114750</v>
      </c>
      <c r="K43" s="458">
        <f t="shared" si="34"/>
        <v>108000</v>
      </c>
      <c r="L43" s="458">
        <f t="shared" si="34"/>
        <v>101250</v>
      </c>
      <c r="M43" s="458">
        <f t="shared" si="34"/>
        <v>94500</v>
      </c>
      <c r="N43" s="458">
        <f t="shared" si="34"/>
        <v>87750</v>
      </c>
      <c r="O43" s="458">
        <f>EE!G16*1000</f>
        <v>81000</v>
      </c>
      <c r="P43" s="458">
        <f t="shared" si="35"/>
        <v>74250</v>
      </c>
      <c r="Q43" s="458">
        <f t="shared" si="35"/>
        <v>67500</v>
      </c>
      <c r="R43" s="458">
        <f t="shared" si="35"/>
        <v>60750</v>
      </c>
      <c r="S43" s="458">
        <f t="shared" si="35"/>
        <v>54000</v>
      </c>
      <c r="T43" s="458">
        <f>EE!H16*1000</f>
        <v>47250</v>
      </c>
      <c r="U43" s="458">
        <f>EE!I16*1000</f>
        <v>33750</v>
      </c>
      <c r="V43" s="741">
        <f>EE!J16*1000</f>
        <v>33750</v>
      </c>
      <c r="W43" s="741">
        <f>EE!K16*1000</f>
        <v>33750</v>
      </c>
      <c r="X43" s="741">
        <f>EE!L16*1000</f>
        <v>33750</v>
      </c>
      <c r="Y43" s="234"/>
      <c r="Z43" s="234" t="str">
        <f>EE!N16</f>
        <v>Proportsionaalne sõiduautode läbisõidu kasvuga, investeeringud tingib läbilaskvuse tõstmise vajadus</v>
      </c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</row>
    <row r="44" spans="1:37">
      <c r="A44" s="127"/>
      <c r="B44" s="227" t="str">
        <f>EE!B17</f>
        <v>Kasutatud siseturule (ettevõtted)</v>
      </c>
      <c r="C44" s="700"/>
      <c r="D44" s="223"/>
      <c r="E44" s="458">
        <f>EE!E17*1000</f>
        <v>73125</v>
      </c>
      <c r="F44" s="458">
        <f t="shared" si="33"/>
        <v>68062.5</v>
      </c>
      <c r="G44" s="458">
        <f t="shared" si="33"/>
        <v>63000</v>
      </c>
      <c r="H44" s="458">
        <f t="shared" si="33"/>
        <v>57937.5</v>
      </c>
      <c r="I44" s="458">
        <f t="shared" si="33"/>
        <v>52875</v>
      </c>
      <c r="J44" s="458">
        <f>EE!F17*1000</f>
        <v>47812.5</v>
      </c>
      <c r="K44" s="458">
        <f t="shared" si="34"/>
        <v>45000</v>
      </c>
      <c r="L44" s="458">
        <f t="shared" si="34"/>
        <v>42187.5</v>
      </c>
      <c r="M44" s="458">
        <f t="shared" si="34"/>
        <v>39375</v>
      </c>
      <c r="N44" s="458">
        <f t="shared" si="34"/>
        <v>36562.5</v>
      </c>
      <c r="O44" s="458">
        <f>EE!G17*1000</f>
        <v>33750</v>
      </c>
      <c r="P44" s="458">
        <f t="shared" si="35"/>
        <v>30937.5</v>
      </c>
      <c r="Q44" s="458">
        <f t="shared" si="35"/>
        <v>28125</v>
      </c>
      <c r="R44" s="458">
        <f t="shared" si="35"/>
        <v>25312.5</v>
      </c>
      <c r="S44" s="458">
        <f t="shared" si="35"/>
        <v>22500</v>
      </c>
      <c r="T44" s="458">
        <f>EE!H17*1000</f>
        <v>19687.5</v>
      </c>
      <c r="U44" s="458">
        <f>EE!I17*1000</f>
        <v>14062.5</v>
      </c>
      <c r="V44" s="741">
        <f>EE!J17*1000</f>
        <v>14062.5</v>
      </c>
      <c r="W44" s="741">
        <f>EE!K17*1000</f>
        <v>14062.5</v>
      </c>
      <c r="X44" s="741">
        <f>EE!L17*1000</f>
        <v>14062.5</v>
      </c>
      <c r="Y44" s="234"/>
      <c r="Z44" s="234" t="str">
        <f>EE!N17</f>
        <v>Proportsionaalne sõiduautode läbisõidu kasvuga, investeeringud tingib läbilaskvuse tõstmise vajadus</v>
      </c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</row>
    <row r="45" spans="1:37">
      <c r="A45" s="127"/>
      <c r="B45" s="213" t="str">
        <f>EE!B18</f>
        <v>Hooldus ja remont</v>
      </c>
      <c r="C45" s="702">
        <v>1000</v>
      </c>
      <c r="D45" s="213"/>
      <c r="E45" s="456">
        <f>SUM(E46,E49,E53)</f>
        <v>495011.53397364158</v>
      </c>
      <c r="F45" s="456">
        <f t="shared" ref="F45:T45" si="36">SUM(F46,F49,F53)</f>
        <v>505060.26285943564</v>
      </c>
      <c r="G45" s="456">
        <f t="shared" si="36"/>
        <v>515108.99174522981</v>
      </c>
      <c r="H45" s="456">
        <f t="shared" si="36"/>
        <v>525157.72063102387</v>
      </c>
      <c r="I45" s="456">
        <f t="shared" si="36"/>
        <v>535206.44951681793</v>
      </c>
      <c r="J45" s="456">
        <f t="shared" si="36"/>
        <v>545255.17840261199</v>
      </c>
      <c r="K45" s="456">
        <f t="shared" si="36"/>
        <v>546836.15099099395</v>
      </c>
      <c r="L45" s="456">
        <f t="shared" si="36"/>
        <v>548417.1235793758</v>
      </c>
      <c r="M45" s="456">
        <f t="shared" si="36"/>
        <v>549998.09616775764</v>
      </c>
      <c r="N45" s="456">
        <f t="shared" si="36"/>
        <v>551579.06875613937</v>
      </c>
      <c r="O45" s="456">
        <f t="shared" si="36"/>
        <v>553160.04134452133</v>
      </c>
      <c r="P45" s="456">
        <f t="shared" si="36"/>
        <v>552973.6206079165</v>
      </c>
      <c r="Q45" s="456">
        <f t="shared" si="36"/>
        <v>552787.1998713119</v>
      </c>
      <c r="R45" s="456">
        <f t="shared" si="36"/>
        <v>552600.77913470729</v>
      </c>
      <c r="S45" s="456">
        <f t="shared" si="36"/>
        <v>552414.35839810246</v>
      </c>
      <c r="T45" s="456">
        <f t="shared" si="36"/>
        <v>552227.93766149785</v>
      </c>
      <c r="U45" s="456">
        <f>EE!I18*1000</f>
        <v>559942.32852569094</v>
      </c>
      <c r="V45" s="743">
        <f>EE!J18*1000</f>
        <v>569399.16186822578</v>
      </c>
      <c r="W45" s="743">
        <f>EE!K18*1000</f>
        <v>579221.97858799878</v>
      </c>
      <c r="X45" s="743">
        <f>EE!L18*1000</f>
        <v>589096.23009880621</v>
      </c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</row>
    <row r="46" spans="1:37">
      <c r="A46" s="127"/>
      <c r="B46" s="217" t="str">
        <f>EE!B19</f>
        <v>Maanteed ja tänavad</v>
      </c>
      <c r="C46" s="699"/>
      <c r="D46" s="218"/>
      <c r="E46" s="457">
        <f>SUM(E47:E48)</f>
        <v>205605.27364030824</v>
      </c>
      <c r="F46" s="457">
        <f t="shared" ref="F46:T46" si="37">SUM(F47:F48)</f>
        <v>207524.47716014826</v>
      </c>
      <c r="G46" s="457">
        <f t="shared" si="37"/>
        <v>209443.68067998826</v>
      </c>
      <c r="H46" s="457">
        <f t="shared" si="37"/>
        <v>211362.88419982829</v>
      </c>
      <c r="I46" s="457">
        <f t="shared" si="37"/>
        <v>213282.08771966828</v>
      </c>
      <c r="J46" s="457">
        <f t="shared" si="37"/>
        <v>215201.29123950831</v>
      </c>
      <c r="K46" s="457">
        <f t="shared" si="37"/>
        <v>217120.49475934834</v>
      </c>
      <c r="L46" s="457">
        <f t="shared" si="37"/>
        <v>219039.69827918836</v>
      </c>
      <c r="M46" s="457">
        <f t="shared" si="37"/>
        <v>220958.90179902839</v>
      </c>
      <c r="N46" s="457">
        <f t="shared" si="37"/>
        <v>222878.10531886842</v>
      </c>
      <c r="O46" s="457">
        <f t="shared" si="37"/>
        <v>224797.30883870844</v>
      </c>
      <c r="P46" s="457">
        <f t="shared" si="37"/>
        <v>224661.90220589898</v>
      </c>
      <c r="Q46" s="457">
        <f t="shared" si="37"/>
        <v>224526.49557308946</v>
      </c>
      <c r="R46" s="457">
        <f t="shared" si="37"/>
        <v>224391.08894028002</v>
      </c>
      <c r="S46" s="457">
        <f t="shared" si="37"/>
        <v>224255.6823074705</v>
      </c>
      <c r="T46" s="457">
        <f t="shared" si="37"/>
        <v>224120.27567466104</v>
      </c>
      <c r="U46" s="457">
        <f>EE!I19*1000</f>
        <v>225730.39138715176</v>
      </c>
      <c r="V46" s="740">
        <f>EE!J19*1000</f>
        <v>227340.50709964242</v>
      </c>
      <c r="W46" s="740">
        <f>EE!K19*1000</f>
        <v>228950.62281213317</v>
      </c>
      <c r="X46" s="740">
        <f>EE!L19*1000</f>
        <v>230560.73852462391</v>
      </c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</row>
    <row r="47" spans="1:37">
      <c r="B47" s="227" t="str">
        <f>EE!B20</f>
        <v>Riik maanteedele</v>
      </c>
      <c r="C47" s="700"/>
      <c r="D47" s="223"/>
      <c r="E47" s="458">
        <f>EE!E20*1000</f>
        <v>161000</v>
      </c>
      <c r="F47" s="458">
        <f t="shared" ref="F47:I48" si="38">$E47+($J47-$E47)/5*(F$4-$E$4)</f>
        <v>162422.92450295467</v>
      </c>
      <c r="G47" s="458">
        <f t="shared" si="38"/>
        <v>163845.84900590932</v>
      </c>
      <c r="H47" s="458">
        <f t="shared" si="38"/>
        <v>165268.77350886399</v>
      </c>
      <c r="I47" s="458">
        <f t="shared" si="38"/>
        <v>166691.69801181863</v>
      </c>
      <c r="J47" s="458">
        <f>EE!F20*1000</f>
        <v>168114.62251477331</v>
      </c>
      <c r="K47" s="458">
        <f t="shared" ref="K47:N48" si="39">$J47+($O47-$J47)/5*(K$4-$J$4)</f>
        <v>169537.54701772798</v>
      </c>
      <c r="L47" s="458">
        <f t="shared" si="39"/>
        <v>170960.47152068265</v>
      </c>
      <c r="M47" s="458">
        <f t="shared" si="39"/>
        <v>172383.3960236373</v>
      </c>
      <c r="N47" s="458">
        <f t="shared" si="39"/>
        <v>173806.32052659197</v>
      </c>
      <c r="O47" s="458">
        <f>EE!G20*1000</f>
        <v>175229.24502954664</v>
      </c>
      <c r="P47" s="458">
        <f t="shared" ref="P47:S48" si="40">$O47+($T47-$O47)/5*(P$4-$O$4)</f>
        <v>174339.71755725419</v>
      </c>
      <c r="Q47" s="458">
        <f t="shared" si="40"/>
        <v>173450.19008496171</v>
      </c>
      <c r="R47" s="458">
        <f t="shared" si="40"/>
        <v>172560.66261266926</v>
      </c>
      <c r="S47" s="458">
        <f t="shared" si="40"/>
        <v>171671.13514037678</v>
      </c>
      <c r="T47" s="458">
        <f>EE!H20*1000</f>
        <v>170781.60766808433</v>
      </c>
      <c r="U47" s="458">
        <f>EE!I20*1000</f>
        <v>170613.80772767527</v>
      </c>
      <c r="V47" s="741">
        <f>EE!J20*1000</f>
        <v>170446.00778726616</v>
      </c>
      <c r="W47" s="741">
        <f>EE!K20*1000</f>
        <v>170278.20784685711</v>
      </c>
      <c r="X47" s="741">
        <f>EE!L20*1000</f>
        <v>170110.40790644803</v>
      </c>
      <c r="Y47" s="234"/>
      <c r="Z47" s="234" t="str">
        <f>EE!N20</f>
        <v>Proportsionaalne sõiduautode läbisõidu muutusega EE stsenaariumis, algaasta 2010</v>
      </c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</row>
    <row r="48" spans="1:37">
      <c r="A48" s="127"/>
      <c r="B48" s="227" t="str">
        <f>EE!B21</f>
        <v>KOV</v>
      </c>
      <c r="C48" s="700"/>
      <c r="D48" s="223"/>
      <c r="E48" s="458">
        <f>EE!E21*1000</f>
        <v>44605.273640308224</v>
      </c>
      <c r="F48" s="458">
        <f t="shared" si="38"/>
        <v>45101.552657193584</v>
      </c>
      <c r="G48" s="458">
        <f t="shared" si="38"/>
        <v>45597.831674078938</v>
      </c>
      <c r="H48" s="458">
        <f t="shared" si="38"/>
        <v>46094.110690964299</v>
      </c>
      <c r="I48" s="458">
        <f t="shared" si="38"/>
        <v>46590.389707849652</v>
      </c>
      <c r="J48" s="458">
        <f>EE!F21*1000</f>
        <v>47086.668724735013</v>
      </c>
      <c r="K48" s="458">
        <f t="shared" si="39"/>
        <v>47582.947741620374</v>
      </c>
      <c r="L48" s="458">
        <f t="shared" si="39"/>
        <v>48079.226758505727</v>
      </c>
      <c r="M48" s="458">
        <f t="shared" si="39"/>
        <v>48575.505775391088</v>
      </c>
      <c r="N48" s="458">
        <f t="shared" si="39"/>
        <v>49071.784792276441</v>
      </c>
      <c r="O48" s="458">
        <f>EE!G21*1000</f>
        <v>49568.063809161802</v>
      </c>
      <c r="P48" s="458">
        <f t="shared" si="40"/>
        <v>50322.184648644783</v>
      </c>
      <c r="Q48" s="458">
        <f t="shared" si="40"/>
        <v>51076.305488127764</v>
      </c>
      <c r="R48" s="458">
        <f t="shared" si="40"/>
        <v>51830.426327610752</v>
      </c>
      <c r="S48" s="458">
        <f t="shared" si="40"/>
        <v>52584.547167093733</v>
      </c>
      <c r="T48" s="458">
        <f>EE!H21*1000</f>
        <v>53338.668006576714</v>
      </c>
      <c r="U48" s="458">
        <f>EE!I21*1000</f>
        <v>55116.583659476491</v>
      </c>
      <c r="V48" s="741">
        <f>EE!J21*1000</f>
        <v>56894.499312376269</v>
      </c>
      <c r="W48" s="741">
        <f>EE!K21*1000</f>
        <v>58672.414965276068</v>
      </c>
      <c r="X48" s="741">
        <f>EE!L21*1000</f>
        <v>60450.330618175838</v>
      </c>
      <c r="Y48" s="234"/>
      <c r="Z48" s="234" t="str">
        <f>EE!N21</f>
        <v>Proportsionaalne sõiduautode läbisõidu muutusega, senist mahajäämust tuleb järgi teha ja jalakäijate tingimused vajavad parandamist</v>
      </c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</row>
    <row r="49" spans="1:37">
      <c r="A49" s="127"/>
      <c r="B49" s="217" t="str">
        <f>EE!B22</f>
        <v>Raudteed</v>
      </c>
      <c r="C49" s="699"/>
      <c r="D49" s="218"/>
      <c r="E49" s="457">
        <f>SUM(E50:E52)</f>
        <v>17567.25</v>
      </c>
      <c r="F49" s="457">
        <f t="shared" ref="F49:T49" si="41">SUM(F50:F52)</f>
        <v>22824.599325954077</v>
      </c>
      <c r="G49" s="457">
        <f t="shared" si="41"/>
        <v>28081.948651908151</v>
      </c>
      <c r="H49" s="457">
        <f t="shared" si="41"/>
        <v>33339.297977862225</v>
      </c>
      <c r="I49" s="457">
        <f t="shared" si="41"/>
        <v>38596.647303816302</v>
      </c>
      <c r="J49" s="457">
        <f t="shared" si="41"/>
        <v>43853.99662977038</v>
      </c>
      <c r="K49" s="457">
        <f t="shared" si="41"/>
        <v>44154.13960497886</v>
      </c>
      <c r="L49" s="457">
        <f t="shared" si="41"/>
        <v>44454.282580187348</v>
      </c>
      <c r="M49" s="457">
        <f t="shared" si="41"/>
        <v>44754.425555395828</v>
      </c>
      <c r="N49" s="457">
        <f t="shared" si="41"/>
        <v>45054.568530604316</v>
      </c>
      <c r="O49" s="457">
        <f t="shared" si="41"/>
        <v>45354.711505812797</v>
      </c>
      <c r="P49" s="457">
        <f t="shared" si="41"/>
        <v>45652.518908684251</v>
      </c>
      <c r="Q49" s="457">
        <f t="shared" si="41"/>
        <v>45950.326311555706</v>
      </c>
      <c r="R49" s="457">
        <f t="shared" si="41"/>
        <v>46248.13371442716</v>
      </c>
      <c r="S49" s="457">
        <f t="shared" si="41"/>
        <v>46545.941117298615</v>
      </c>
      <c r="T49" s="457">
        <f t="shared" si="41"/>
        <v>46843.748520170077</v>
      </c>
      <c r="U49" s="457">
        <f>EE!I22*1000</f>
        <v>45908.766871872598</v>
      </c>
      <c r="V49" s="740">
        <f>EE!J22*1000</f>
        <v>44996.347701916689</v>
      </c>
      <c r="W49" s="740">
        <f>EE!K22*1000</f>
        <v>44105.464709199012</v>
      </c>
      <c r="X49" s="740">
        <f>EE!L22*1000</f>
        <v>43235.152907515687</v>
      </c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</row>
    <row r="50" spans="1:37">
      <c r="B50" s="227"/>
      <c r="C50" s="700"/>
      <c r="D50" s="223"/>
      <c r="E50" s="458">
        <f>EE!E23*1000</f>
        <v>0</v>
      </c>
      <c r="F50" s="458"/>
      <c r="G50" s="458"/>
      <c r="H50" s="458"/>
      <c r="I50" s="458"/>
      <c r="J50" s="458">
        <f>EE!F23*1000</f>
        <v>0</v>
      </c>
      <c r="K50" s="458"/>
      <c r="L50" s="458"/>
      <c r="M50" s="458"/>
      <c r="N50" s="458"/>
      <c r="O50" s="458">
        <f>EE!G23*1000</f>
        <v>0</v>
      </c>
      <c r="P50" s="458">
        <f t="shared" ref="P50:S52" si="42">$O50+($T50-$O50)/5*(P$4-$O$4)</f>
        <v>0</v>
      </c>
      <c r="Q50" s="458">
        <f t="shared" si="42"/>
        <v>0</v>
      </c>
      <c r="R50" s="458">
        <f t="shared" si="42"/>
        <v>0</v>
      </c>
      <c r="S50" s="458">
        <f t="shared" si="42"/>
        <v>0</v>
      </c>
      <c r="T50" s="458">
        <f>EE!H23*1000</f>
        <v>0</v>
      </c>
      <c r="U50" s="458">
        <f>EE!I23*1000</f>
        <v>0</v>
      </c>
      <c r="V50" s="741">
        <f>EE!J23*1000</f>
        <v>0</v>
      </c>
      <c r="W50" s="741">
        <f>EE!K23*1000</f>
        <v>0</v>
      </c>
      <c r="X50" s="741">
        <f>EE!L23*1000</f>
        <v>0</v>
      </c>
      <c r="Y50" s="234"/>
      <c r="Z50" s="234" t="str">
        <f>EE!N23</f>
        <v>Proportsionaalne kaubavedude kasvuga, rohkem veotonne tingib suurema hooldusvajaduse</v>
      </c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</row>
    <row r="51" spans="1:37">
      <c r="B51" s="227" t="str">
        <f>EE!B24</f>
        <v>Hooldus</v>
      </c>
      <c r="C51" s="700"/>
      <c r="D51" s="270"/>
      <c r="E51" s="458">
        <f>EE!E24*1000</f>
        <v>15000</v>
      </c>
      <c r="F51" s="458">
        <f t="shared" ref="F51:I52" si="43">$E51+($J51-$E51)/5*(F$4-$E$4)</f>
        <v>15502.039406379523</v>
      </c>
      <c r="G51" s="458">
        <f t="shared" si="43"/>
        <v>16004.078812759046</v>
      </c>
      <c r="H51" s="458">
        <f t="shared" si="43"/>
        <v>16506.118219138571</v>
      </c>
      <c r="I51" s="458">
        <f t="shared" si="43"/>
        <v>17008.157625518092</v>
      </c>
      <c r="J51" s="458">
        <f>EE!F24*1000</f>
        <v>17510.197031897616</v>
      </c>
      <c r="K51" s="458">
        <f t="shared" ref="K51:N52" si="44">$J51+($O51-$J51)/5*(K$4-$J$4)</f>
        <v>17645.643438714131</v>
      </c>
      <c r="L51" s="458">
        <f t="shared" si="44"/>
        <v>17781.089845530645</v>
      </c>
      <c r="M51" s="458">
        <f t="shared" si="44"/>
        <v>17916.536252347159</v>
      </c>
      <c r="N51" s="458">
        <f t="shared" si="44"/>
        <v>18051.982659163674</v>
      </c>
      <c r="O51" s="458">
        <f>EE!G24*1000</f>
        <v>18187.429065980188</v>
      </c>
      <c r="P51" s="458">
        <f t="shared" si="42"/>
        <v>18322.875472796703</v>
      </c>
      <c r="Q51" s="458">
        <f t="shared" si="42"/>
        <v>18458.321879613217</v>
      </c>
      <c r="R51" s="458">
        <f t="shared" si="42"/>
        <v>18593.768286429728</v>
      </c>
      <c r="S51" s="458">
        <f t="shared" si="42"/>
        <v>18729.214693246242</v>
      </c>
      <c r="T51" s="458">
        <f>EE!H24*1000</f>
        <v>18864.661100062756</v>
      </c>
      <c r="U51" s="458">
        <f>EE!I24*1000</f>
        <v>18662.427563140162</v>
      </c>
      <c r="V51" s="741">
        <f>EE!J24*1000</f>
        <v>18460.194026217567</v>
      </c>
      <c r="W51" s="741">
        <f>EE!K24*1000</f>
        <v>18257.960489294968</v>
      </c>
      <c r="X51" s="741">
        <f>EE!L24*1000</f>
        <v>18055.726952372377</v>
      </c>
      <c r="Y51" s="234"/>
      <c r="Z51" s="234" t="str">
        <f>EE!N24</f>
        <v>Proportsionaalne kaubavedude kasvuga, rohkem veotonne tingib suurema hooldusvajaduse</v>
      </c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</row>
    <row r="52" spans="1:37">
      <c r="B52" s="227" t="str">
        <f>EE!B25</f>
        <v>Rekonstrueerimised</v>
      </c>
      <c r="C52" s="700"/>
      <c r="D52" s="223"/>
      <c r="E52" s="458">
        <f>EE!E25*1000</f>
        <v>2567.2499999999995</v>
      </c>
      <c r="F52" s="458">
        <f t="shared" si="43"/>
        <v>7322.5599195745526</v>
      </c>
      <c r="G52" s="458">
        <f t="shared" si="43"/>
        <v>12077.869839149105</v>
      </c>
      <c r="H52" s="458">
        <f t="shared" si="43"/>
        <v>16833.179758723658</v>
      </c>
      <c r="I52" s="458">
        <f t="shared" si="43"/>
        <v>21588.48967829821</v>
      </c>
      <c r="J52" s="458">
        <f>EE!F25*1000</f>
        <v>26343.799597872763</v>
      </c>
      <c r="K52" s="458">
        <f t="shared" si="44"/>
        <v>26508.496166264733</v>
      </c>
      <c r="L52" s="458">
        <f t="shared" si="44"/>
        <v>26673.192734656703</v>
      </c>
      <c r="M52" s="458">
        <f t="shared" si="44"/>
        <v>26837.889303048669</v>
      </c>
      <c r="N52" s="458">
        <f t="shared" si="44"/>
        <v>27002.585871440639</v>
      </c>
      <c r="O52" s="458">
        <f>EE!G25*1000</f>
        <v>27167.282439832608</v>
      </c>
      <c r="P52" s="458">
        <f t="shared" si="42"/>
        <v>27329.643435887549</v>
      </c>
      <c r="Q52" s="458">
        <f t="shared" si="42"/>
        <v>27492.004431942492</v>
      </c>
      <c r="R52" s="458">
        <f t="shared" si="42"/>
        <v>27654.365427997433</v>
      </c>
      <c r="S52" s="458">
        <f t="shared" si="42"/>
        <v>27816.726424052376</v>
      </c>
      <c r="T52" s="458">
        <f>EE!H25*1000</f>
        <v>27979.087420107317</v>
      </c>
      <c r="U52" s="458">
        <f>EE!I25*1000</f>
        <v>27246.339308732433</v>
      </c>
      <c r="V52" s="741">
        <f>EE!J25*1000</f>
        <v>26536.153675699123</v>
      </c>
      <c r="W52" s="741">
        <f>EE!K25*1000</f>
        <v>25847.504219904047</v>
      </c>
      <c r="X52" s="741">
        <f>EE!L25*1000</f>
        <v>25179.425955143302</v>
      </c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</row>
    <row r="53" spans="1:37" customFormat="1" ht="12.75">
      <c r="A53">
        <v>22</v>
      </c>
      <c r="B53" s="804" t="s">
        <v>288</v>
      </c>
      <c r="C53" s="702">
        <v>1000</v>
      </c>
      <c r="D53" s="805"/>
      <c r="E53" s="819">
        <f>SUM(E54:E56)</f>
        <v>271839.01033333334</v>
      </c>
      <c r="F53" s="819">
        <f t="shared" ref="F53:T53" si="45">SUM(F54:F56)</f>
        <v>274711.18637333333</v>
      </c>
      <c r="G53" s="819">
        <f t="shared" si="45"/>
        <v>277583.36241333338</v>
      </c>
      <c r="H53" s="819">
        <f t="shared" si="45"/>
        <v>280455.53845333331</v>
      </c>
      <c r="I53" s="819">
        <f t="shared" si="45"/>
        <v>283327.71449333336</v>
      </c>
      <c r="J53" s="819">
        <f t="shared" si="45"/>
        <v>286199.89053333335</v>
      </c>
      <c r="K53" s="819">
        <f t="shared" si="45"/>
        <v>285561.51662666671</v>
      </c>
      <c r="L53" s="819">
        <f t="shared" si="45"/>
        <v>284923.14272000006</v>
      </c>
      <c r="M53" s="819">
        <f t="shared" si="45"/>
        <v>284284.76881333336</v>
      </c>
      <c r="N53" s="819">
        <f t="shared" si="45"/>
        <v>283646.39490666671</v>
      </c>
      <c r="O53" s="819">
        <f t="shared" si="45"/>
        <v>283008.02100000007</v>
      </c>
      <c r="P53" s="819">
        <f t="shared" si="45"/>
        <v>282659.19949333335</v>
      </c>
      <c r="Q53" s="819">
        <f t="shared" si="45"/>
        <v>282310.37798666669</v>
      </c>
      <c r="R53" s="819">
        <f t="shared" si="45"/>
        <v>281961.55648000003</v>
      </c>
      <c r="S53" s="819">
        <f t="shared" si="45"/>
        <v>281612.73497333337</v>
      </c>
      <c r="T53" s="819">
        <f t="shared" si="45"/>
        <v>281263.91346666671</v>
      </c>
      <c r="U53" s="819">
        <f>SUM(U54:U56)</f>
        <v>288303.17026666668</v>
      </c>
      <c r="V53" s="819">
        <f>SUM(V54:V56)</f>
        <v>297062.30706666666</v>
      </c>
      <c r="W53" s="819">
        <f>SUM(W54:W56)</f>
        <v>306165.89106666669</v>
      </c>
      <c r="X53" s="819">
        <f>SUM(X54:X56)</f>
        <v>315300.33866666665</v>
      </c>
      <c r="Y53" s="808"/>
    </row>
    <row r="54" spans="1:37" customFormat="1" ht="12.75">
      <c r="A54">
        <v>23</v>
      </c>
      <c r="B54" s="806" t="s">
        <v>289</v>
      </c>
      <c r="C54" s="807"/>
      <c r="D54" s="807"/>
      <c r="E54" s="458">
        <f>EE!E27*1000</f>
        <v>21596.274000000001</v>
      </c>
      <c r="F54" s="458">
        <f t="shared" ref="F54:I56" si="46">$E54+($J54-$E54)/5*(F$4-$E$4)</f>
        <v>22397.785200000002</v>
      </c>
      <c r="G54" s="458">
        <f t="shared" si="46"/>
        <v>23199.296399999999</v>
      </c>
      <c r="H54" s="458">
        <f t="shared" si="46"/>
        <v>24000.8076</v>
      </c>
      <c r="I54" s="458">
        <f t="shared" si="46"/>
        <v>24802.318799999997</v>
      </c>
      <c r="J54" s="458">
        <f>EE!F27*1000</f>
        <v>25603.829999999998</v>
      </c>
      <c r="K54" s="458">
        <f t="shared" ref="K54:N56" si="47">$J54+($O54-$J54)/5*(K$4-$J$4)</f>
        <v>26049.113999999998</v>
      </c>
      <c r="L54" s="458">
        <f t="shared" si="47"/>
        <v>26494.397999999997</v>
      </c>
      <c r="M54" s="458">
        <f t="shared" si="47"/>
        <v>26939.682000000001</v>
      </c>
      <c r="N54" s="458">
        <f t="shared" si="47"/>
        <v>27384.966</v>
      </c>
      <c r="O54" s="458">
        <f>EE!G27*1000</f>
        <v>27830.25</v>
      </c>
      <c r="P54" s="458">
        <f t="shared" ref="P54:S56" si="48">$O54+($T54-$O54)/5*(P$4-$O$4)</f>
        <v>27830.25</v>
      </c>
      <c r="Q54" s="458">
        <f t="shared" si="48"/>
        <v>27830.25</v>
      </c>
      <c r="R54" s="458">
        <f t="shared" si="48"/>
        <v>27830.25</v>
      </c>
      <c r="S54" s="458">
        <f t="shared" si="48"/>
        <v>27830.25</v>
      </c>
      <c r="T54" s="458">
        <f>EE!H27*1000</f>
        <v>27830.25</v>
      </c>
      <c r="U54" s="458">
        <f>EE!I27*1000</f>
        <v>27830.25</v>
      </c>
      <c r="V54" s="741">
        <f>EE!J27*1000</f>
        <v>27830.25</v>
      </c>
      <c r="W54" s="741">
        <f>EE!K27*1000</f>
        <v>27830.25</v>
      </c>
      <c r="X54" s="741">
        <f>EE!L27*1000</f>
        <v>27830.25</v>
      </c>
      <c r="Y54" s="808"/>
    </row>
    <row r="55" spans="1:37" customFormat="1" ht="12.75">
      <c r="A55">
        <v>24</v>
      </c>
      <c r="B55" s="806" t="s">
        <v>290</v>
      </c>
      <c r="C55" s="807"/>
      <c r="D55" s="807"/>
      <c r="E55" s="458">
        <f>EE!E28*1000</f>
        <v>250134.16400000002</v>
      </c>
      <c r="F55" s="458">
        <f t="shared" si="46"/>
        <v>252093.41360000003</v>
      </c>
      <c r="G55" s="458">
        <f t="shared" si="46"/>
        <v>254052.66320000004</v>
      </c>
      <c r="H55" s="458">
        <f t="shared" si="46"/>
        <v>256011.91280000002</v>
      </c>
      <c r="I55" s="458">
        <f t="shared" si="46"/>
        <v>257971.16240000003</v>
      </c>
      <c r="J55" s="458">
        <f>EE!F28*1000</f>
        <v>259930.41200000004</v>
      </c>
      <c r="K55" s="458">
        <f t="shared" si="47"/>
        <v>257852.42000000004</v>
      </c>
      <c r="L55" s="458">
        <f t="shared" si="47"/>
        <v>255774.42800000004</v>
      </c>
      <c r="M55" s="458">
        <f t="shared" si="47"/>
        <v>253696.43600000002</v>
      </c>
      <c r="N55" s="458">
        <f t="shared" si="47"/>
        <v>251618.44400000002</v>
      </c>
      <c r="O55" s="458">
        <f>EE!G28*1000</f>
        <v>249540.45200000002</v>
      </c>
      <c r="P55" s="458">
        <f t="shared" si="48"/>
        <v>248056.17200000002</v>
      </c>
      <c r="Q55" s="458">
        <f t="shared" si="48"/>
        <v>246571.89200000002</v>
      </c>
      <c r="R55" s="458">
        <f t="shared" si="48"/>
        <v>245087.61200000002</v>
      </c>
      <c r="S55" s="458">
        <f t="shared" si="48"/>
        <v>243603.33200000002</v>
      </c>
      <c r="T55" s="458">
        <f>EE!H28*1000</f>
        <v>242119.05200000003</v>
      </c>
      <c r="U55" s="458">
        <f>EE!I28*1000</f>
        <v>240882.15200000003</v>
      </c>
      <c r="V55" s="741">
        <f>EE!J28*1000</f>
        <v>240882.15200000003</v>
      </c>
      <c r="W55" s="741">
        <f>EE!K28*1000</f>
        <v>240882.15200000003</v>
      </c>
      <c r="X55" s="741">
        <f>EE!L28*1000</f>
        <v>240882.15200000003</v>
      </c>
      <c r="Y55" s="808"/>
    </row>
    <row r="56" spans="1:37" customFormat="1" ht="12.75">
      <c r="A56">
        <v>25</v>
      </c>
      <c r="B56" s="806" t="s">
        <v>291</v>
      </c>
      <c r="C56" s="807"/>
      <c r="D56" s="807"/>
      <c r="E56" s="458">
        <f>EE!E29*1000</f>
        <v>108.57233333333335</v>
      </c>
      <c r="F56" s="458">
        <f t="shared" si="46"/>
        <v>219.98757333333333</v>
      </c>
      <c r="G56" s="458">
        <f t="shared" si="46"/>
        <v>331.40281333333337</v>
      </c>
      <c r="H56" s="458">
        <f t="shared" si="46"/>
        <v>442.81805333333335</v>
      </c>
      <c r="I56" s="458">
        <f t="shared" si="46"/>
        <v>554.23329333333334</v>
      </c>
      <c r="J56" s="458">
        <f>EE!F29*1000</f>
        <v>665.64853333333338</v>
      </c>
      <c r="K56" s="458">
        <f t="shared" si="47"/>
        <v>1659.9826266666669</v>
      </c>
      <c r="L56" s="458">
        <f t="shared" si="47"/>
        <v>2654.3167200000007</v>
      </c>
      <c r="M56" s="458">
        <f t="shared" si="47"/>
        <v>3648.6508133333341</v>
      </c>
      <c r="N56" s="458">
        <f t="shared" si="47"/>
        <v>4642.9849066666675</v>
      </c>
      <c r="O56" s="458">
        <f>EE!G29*1000</f>
        <v>5637.3190000000013</v>
      </c>
      <c r="P56" s="458">
        <f t="shared" si="48"/>
        <v>6772.7774933333349</v>
      </c>
      <c r="Q56" s="458">
        <f t="shared" si="48"/>
        <v>7908.2359866666684</v>
      </c>
      <c r="R56" s="458">
        <f t="shared" si="48"/>
        <v>9043.6944800000019</v>
      </c>
      <c r="S56" s="458">
        <f t="shared" si="48"/>
        <v>10179.152973333335</v>
      </c>
      <c r="T56" s="458">
        <f>EE!H29*1000</f>
        <v>11314.611466666669</v>
      </c>
      <c r="U56" s="458">
        <f>EE!I29*1000</f>
        <v>19590.76826666667</v>
      </c>
      <c r="V56" s="741">
        <f>EE!J29*1000</f>
        <v>28349.905066666674</v>
      </c>
      <c r="W56" s="741">
        <f>EE!K29*1000</f>
        <v>37453.489066666669</v>
      </c>
      <c r="X56" s="741">
        <f>EE!L29*1000</f>
        <v>46587.936666666668</v>
      </c>
      <c r="Y56" s="808"/>
    </row>
    <row r="57" spans="1:37">
      <c r="B57" s="213" t="str">
        <f>EE!B30</f>
        <v>Dotatsioon</v>
      </c>
      <c r="C57" s="702">
        <v>1000</v>
      </c>
      <c r="D57" s="213"/>
      <c r="E57" s="456">
        <f>SUM(E58:E60)</f>
        <v>80697.777436650402</v>
      </c>
      <c r="F57" s="456">
        <f t="shared" ref="F57:X57" si="49">SUM(F58:F60)</f>
        <v>83413.69965905814</v>
      </c>
      <c r="G57" s="456">
        <f t="shared" si="49"/>
        <v>86129.621881465893</v>
      </c>
      <c r="H57" s="456">
        <f t="shared" si="49"/>
        <v>88845.544103873632</v>
      </c>
      <c r="I57" s="456">
        <f t="shared" si="49"/>
        <v>91561.46632628137</v>
      </c>
      <c r="J57" s="456">
        <f t="shared" si="49"/>
        <v>94277.388548689094</v>
      </c>
      <c r="K57" s="456">
        <f t="shared" si="49"/>
        <v>96943.772215062199</v>
      </c>
      <c r="L57" s="456">
        <f t="shared" si="49"/>
        <v>99610.155881435305</v>
      </c>
      <c r="M57" s="456">
        <f t="shared" si="49"/>
        <v>102276.53954780841</v>
      </c>
      <c r="N57" s="456">
        <f t="shared" si="49"/>
        <v>104942.9232141815</v>
      </c>
      <c r="O57" s="456">
        <f t="shared" si="49"/>
        <v>107609.30688055462</v>
      </c>
      <c r="P57" s="456">
        <f t="shared" si="49"/>
        <v>107046.00710470893</v>
      </c>
      <c r="Q57" s="456">
        <f t="shared" si="49"/>
        <v>106482.70732886324</v>
      </c>
      <c r="R57" s="456">
        <f t="shared" si="49"/>
        <v>105919.40755301753</v>
      </c>
      <c r="S57" s="456">
        <f t="shared" si="49"/>
        <v>105356.10777717184</v>
      </c>
      <c r="T57" s="456">
        <f t="shared" si="49"/>
        <v>104792.80800132614</v>
      </c>
      <c r="U57" s="456">
        <f t="shared" si="49"/>
        <v>102513.3283345676</v>
      </c>
      <c r="V57" s="456">
        <f t="shared" si="49"/>
        <v>101257.99523110286</v>
      </c>
      <c r="W57" s="456">
        <f t="shared" si="49"/>
        <v>100943.66191605138</v>
      </c>
      <c r="X57" s="456">
        <f t="shared" si="49"/>
        <v>101525.05114179372</v>
      </c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</row>
    <row r="58" spans="1:37">
      <c r="B58" s="240" t="str">
        <f>EE!B31</f>
        <v>Raudtee</v>
      </c>
      <c r="C58" s="700"/>
      <c r="D58" s="223"/>
      <c r="E58" s="460">
        <f>EE!E31*1000</f>
        <v>16808.271672135474</v>
      </c>
      <c r="F58" s="458">
        <f t="shared" ref="F58:I66" si="50">$E58+($J58-$E58)/5*(F$4-$E$4)</f>
        <v>17797.881424570951</v>
      </c>
      <c r="G58" s="458">
        <f t="shared" si="50"/>
        <v>18787.491177006432</v>
      </c>
      <c r="H58" s="458">
        <f t="shared" si="50"/>
        <v>19777.100929441909</v>
      </c>
      <c r="I58" s="458">
        <f t="shared" si="50"/>
        <v>20766.71068187739</v>
      </c>
      <c r="J58" s="460">
        <f>EE!F31*1000</f>
        <v>21756.320434312867</v>
      </c>
      <c r="K58" s="458">
        <f t="shared" ref="K58:N68" si="51">$J58+($O58-$J58)/5*(K$4-$J$4)</f>
        <v>22650.542194353417</v>
      </c>
      <c r="L58" s="458">
        <f t="shared" si="51"/>
        <v>23544.763954393962</v>
      </c>
      <c r="M58" s="458">
        <f t="shared" si="51"/>
        <v>24438.985714434511</v>
      </c>
      <c r="N58" s="458">
        <f t="shared" si="51"/>
        <v>25333.207474475057</v>
      </c>
      <c r="O58" s="460">
        <f>EE!G31*1000</f>
        <v>26227.429234515606</v>
      </c>
      <c r="P58" s="458">
        <f t="shared" ref="P58:S68" si="52">$O58+($T58-$O58)/5*(P$4-$O$4)</f>
        <v>26466.590966828418</v>
      </c>
      <c r="Q58" s="458">
        <f t="shared" si="52"/>
        <v>26705.752699141234</v>
      </c>
      <c r="R58" s="458">
        <f t="shared" si="52"/>
        <v>26944.914431454046</v>
      </c>
      <c r="S58" s="458">
        <f t="shared" si="52"/>
        <v>27184.076163766862</v>
      </c>
      <c r="T58" s="460">
        <f>EE!H31*1000</f>
        <v>27423.237896079674</v>
      </c>
      <c r="U58" s="460">
        <f>EE!I31*1000</f>
        <v>28004.627121822035</v>
      </c>
      <c r="V58" s="744">
        <f>EE!J31*1000</f>
        <v>28586.016347564393</v>
      </c>
      <c r="W58" s="744">
        <f>EE!K31*1000</f>
        <v>29167.405573306743</v>
      </c>
      <c r="X58" s="744">
        <f>EE!L31*1000</f>
        <v>29748.794799049094</v>
      </c>
      <c r="Y58" s="234"/>
      <c r="Z58" s="234" t="str">
        <f>EE!N31</f>
        <v>Proportsionaalne reisijateveo kasvuga, jättes kasvust välja Rail Balticu mahu, mis ei ole doteeritav</v>
      </c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</row>
    <row r="59" spans="1:37">
      <c r="B59" s="240" t="str">
        <f>EE!B32</f>
        <v>Ühistransport riik</v>
      </c>
      <c r="C59" s="700"/>
      <c r="D59" s="223"/>
      <c r="E59" s="460">
        <f>EE!E32*1000</f>
        <v>19609.650284158048</v>
      </c>
      <c r="F59" s="458">
        <f t="shared" si="50"/>
        <v>21126.800335904656</v>
      </c>
      <c r="G59" s="458">
        <f t="shared" si="50"/>
        <v>22643.950387651264</v>
      </c>
      <c r="H59" s="458">
        <f t="shared" si="50"/>
        <v>24161.100439397873</v>
      </c>
      <c r="I59" s="458">
        <f t="shared" si="50"/>
        <v>25678.250491144478</v>
      </c>
      <c r="J59" s="460">
        <f>EE!F32*1000</f>
        <v>27195.400542891086</v>
      </c>
      <c r="K59" s="458">
        <f t="shared" si="51"/>
        <v>27859.961257765794</v>
      </c>
      <c r="L59" s="458">
        <f t="shared" si="51"/>
        <v>28524.521972640505</v>
      </c>
      <c r="M59" s="458">
        <f t="shared" si="51"/>
        <v>29189.082687515212</v>
      </c>
      <c r="N59" s="458">
        <f t="shared" si="51"/>
        <v>29853.643402389924</v>
      </c>
      <c r="O59" s="460">
        <f>EE!G32*1000</f>
        <v>30518.204117264631</v>
      </c>
      <c r="P59" s="458">
        <f t="shared" si="52"/>
        <v>30217.281051705191</v>
      </c>
      <c r="Q59" s="458">
        <f t="shared" si="52"/>
        <v>29916.357986145751</v>
      </c>
      <c r="R59" s="458">
        <f t="shared" si="52"/>
        <v>29615.434920586307</v>
      </c>
      <c r="S59" s="458">
        <f t="shared" si="52"/>
        <v>29314.511855026867</v>
      </c>
      <c r="T59" s="460">
        <f>EE!H32*1000</f>
        <v>29013.588789467427</v>
      </c>
      <c r="U59" s="460">
        <f>EE!I32*1000</f>
        <v>27940.762954779588</v>
      </c>
      <c r="V59" s="744">
        <f>EE!J32*1000</f>
        <v>27251.992081326931</v>
      </c>
      <c r="W59" s="744">
        <f>EE!K32*1000</f>
        <v>26916.096128529236</v>
      </c>
      <c r="X59" s="744">
        <f>EE!L32*1000</f>
        <v>26916.096128529236</v>
      </c>
      <c r="Y59" s="234"/>
      <c r="Z59" s="234" t="str">
        <f>EE!N32</f>
        <v>BAU+20%</v>
      </c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</row>
    <row r="60" spans="1:37">
      <c r="B60" s="241" t="str">
        <f>EE!B33</f>
        <v>Ühistransport KOV</v>
      </c>
      <c r="C60" s="700"/>
      <c r="D60" s="223"/>
      <c r="E60" s="458">
        <f>EE!E33*1000</f>
        <v>44279.855480356884</v>
      </c>
      <c r="F60" s="458">
        <f t="shared" si="50"/>
        <v>44489.017898582533</v>
      </c>
      <c r="G60" s="458">
        <f t="shared" si="50"/>
        <v>44698.18031680819</v>
      </c>
      <c r="H60" s="458">
        <f t="shared" si="50"/>
        <v>44907.342735033839</v>
      </c>
      <c r="I60" s="458">
        <f t="shared" si="50"/>
        <v>45116.505153259495</v>
      </c>
      <c r="J60" s="458">
        <f>EE!F33*1000</f>
        <v>45325.667571485144</v>
      </c>
      <c r="K60" s="458">
        <f t="shared" si="51"/>
        <v>46433.268762942993</v>
      </c>
      <c r="L60" s="458">
        <f t="shared" si="51"/>
        <v>47540.869954400841</v>
      </c>
      <c r="M60" s="458">
        <f t="shared" si="51"/>
        <v>48648.471145858683</v>
      </c>
      <c r="N60" s="458">
        <f t="shared" si="51"/>
        <v>49756.072337316531</v>
      </c>
      <c r="O60" s="458">
        <f>EE!G33*1000</f>
        <v>50863.67352877438</v>
      </c>
      <c r="P60" s="458">
        <f t="shared" si="52"/>
        <v>50362.135086175309</v>
      </c>
      <c r="Q60" s="458">
        <f t="shared" si="52"/>
        <v>49860.596643576246</v>
      </c>
      <c r="R60" s="458">
        <f t="shared" si="52"/>
        <v>49359.058200977175</v>
      </c>
      <c r="S60" s="458">
        <f t="shared" si="52"/>
        <v>48857.519758378112</v>
      </c>
      <c r="T60" s="458">
        <f>EE!H33*1000</f>
        <v>48355.981315779041</v>
      </c>
      <c r="U60" s="458">
        <f>EE!I33*1000</f>
        <v>46567.938257965972</v>
      </c>
      <c r="V60" s="741">
        <f>EE!J33*1000</f>
        <v>45419.986802211548</v>
      </c>
      <c r="W60" s="741">
        <f>EE!K33*1000</f>
        <v>44860.160214215393</v>
      </c>
      <c r="X60" s="741">
        <f>EE!L33*1000</f>
        <v>44860.160214215393</v>
      </c>
      <c r="Y60" s="234"/>
      <c r="Z60" s="234" t="str">
        <f>EE!N33</f>
        <v>BAU+20%</v>
      </c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</row>
    <row r="61" spans="1:37" ht="34.5" customHeight="1">
      <c r="B61" s="469" t="s">
        <v>200</v>
      </c>
      <c r="C61" s="703">
        <v>1000</v>
      </c>
      <c r="D61" s="467"/>
      <c r="E61" s="472">
        <f>E33+E37+E46+E49+E57</f>
        <v>403607.15017049748</v>
      </c>
      <c r="F61" s="472">
        <f t="shared" ref="F61:X61" si="53">F33+F37+F46+F49+F57</f>
        <v>411225.18954945821</v>
      </c>
      <c r="G61" s="472">
        <f t="shared" si="53"/>
        <v>418843.22892841889</v>
      </c>
      <c r="H61" s="472">
        <f t="shared" si="53"/>
        <v>426461.26830737956</v>
      </c>
      <c r="I61" s="472">
        <f t="shared" si="53"/>
        <v>434079.30768634024</v>
      </c>
      <c r="J61" s="472">
        <f t="shared" si="53"/>
        <v>446697.34706530097</v>
      </c>
      <c r="K61" s="472">
        <f t="shared" si="53"/>
        <v>451928.85463033197</v>
      </c>
      <c r="L61" s="472">
        <f t="shared" si="53"/>
        <v>457160.36219536315</v>
      </c>
      <c r="M61" s="472">
        <f t="shared" si="53"/>
        <v>462391.86976039415</v>
      </c>
      <c r="N61" s="472">
        <f t="shared" si="53"/>
        <v>467623.37732542516</v>
      </c>
      <c r="O61" s="472">
        <f t="shared" si="53"/>
        <v>472854.88489045633</v>
      </c>
      <c r="P61" s="472">
        <f t="shared" si="53"/>
        <v>472677.11248000874</v>
      </c>
      <c r="Q61" s="472">
        <f t="shared" si="53"/>
        <v>472499.34006956115</v>
      </c>
      <c r="R61" s="472">
        <f t="shared" si="53"/>
        <v>472321.56765911367</v>
      </c>
      <c r="S61" s="472">
        <f t="shared" si="53"/>
        <v>472143.79524866602</v>
      </c>
      <c r="T61" s="472">
        <f t="shared" si="53"/>
        <v>471966.02283821849</v>
      </c>
      <c r="U61" s="472">
        <f t="shared" si="53"/>
        <v>471392.33191058401</v>
      </c>
      <c r="V61" s="472">
        <f t="shared" si="53"/>
        <v>471865.35002458491</v>
      </c>
      <c r="W61" s="472">
        <f t="shared" si="53"/>
        <v>473300.90410423733</v>
      </c>
      <c r="X61" s="472">
        <f t="shared" si="53"/>
        <v>475652.75191571796</v>
      </c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</row>
    <row r="62" spans="1:37">
      <c r="B62" s="213" t="s">
        <v>416</v>
      </c>
      <c r="C62" s="690"/>
      <c r="D62" s="183"/>
      <c r="E62" s="183">
        <f>J62</f>
        <v>48946.299578915321</v>
      </c>
      <c r="F62" s="183">
        <f t="shared" si="50"/>
        <v>48946.299578915321</v>
      </c>
      <c r="G62" s="183">
        <f t="shared" si="50"/>
        <v>48946.299578915321</v>
      </c>
      <c r="H62" s="183">
        <f t="shared" si="50"/>
        <v>48946.299578915321</v>
      </c>
      <c r="I62" s="183">
        <f t="shared" si="50"/>
        <v>48946.299578915321</v>
      </c>
      <c r="J62" s="723">
        <f>Meetmed_maksumustega2020!AB60</f>
        <v>48946.299578915321</v>
      </c>
      <c r="K62" s="723">
        <f t="shared" si="51"/>
        <v>53037.299578915321</v>
      </c>
      <c r="L62" s="723">
        <f t="shared" si="51"/>
        <v>57128.299578915314</v>
      </c>
      <c r="M62" s="723">
        <f t="shared" si="51"/>
        <v>61219.299578915314</v>
      </c>
      <c r="N62" s="723">
        <f t="shared" si="51"/>
        <v>65310.299578915306</v>
      </c>
      <c r="O62" s="183">
        <f>AVERAGE(J62,T62)</f>
        <v>69401.299578915306</v>
      </c>
      <c r="P62" s="458">
        <f t="shared" si="52"/>
        <v>73492.299578915306</v>
      </c>
      <c r="Q62" s="458">
        <f t="shared" si="52"/>
        <v>77583.299578915306</v>
      </c>
      <c r="R62" s="458">
        <f t="shared" si="52"/>
        <v>81674.299578915292</v>
      </c>
      <c r="S62" s="458">
        <f t="shared" si="52"/>
        <v>85765.299578915292</v>
      </c>
      <c r="T62" s="723">
        <f>Meetmed_maksumustega_2030!AC60</f>
        <v>89856.299578915292</v>
      </c>
      <c r="U62" s="723">
        <f>T62</f>
        <v>89856.299578915292</v>
      </c>
      <c r="V62" s="748">
        <f>U62</f>
        <v>89856.299578915292</v>
      </c>
      <c r="W62" s="748">
        <f>V62</f>
        <v>89856.299578915292</v>
      </c>
      <c r="X62" s="748">
        <f>W62</f>
        <v>89856.299578915292</v>
      </c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</row>
    <row r="63" spans="1:37" s="921" customFormat="1">
      <c r="A63" s="913" t="s">
        <v>417</v>
      </c>
      <c r="B63" s="914"/>
      <c r="C63" s="915"/>
      <c r="D63" s="916"/>
      <c r="E63" s="183">
        <f>J63</f>
        <v>82046.299578915321</v>
      </c>
      <c r="F63" s="916">
        <f t="shared" si="50"/>
        <v>82046.299578915321</v>
      </c>
      <c r="G63" s="916">
        <f t="shared" si="50"/>
        <v>82046.299578915321</v>
      </c>
      <c r="H63" s="916">
        <f t="shared" si="50"/>
        <v>82046.299578915321</v>
      </c>
      <c r="I63" s="916">
        <f t="shared" si="50"/>
        <v>82046.299578915321</v>
      </c>
      <c r="J63" s="723">
        <f>Meetmed_maksumustega2020!AB59</f>
        <v>82046.299578915321</v>
      </c>
      <c r="K63" s="917">
        <f t="shared" si="51"/>
        <v>89326.749578915318</v>
      </c>
      <c r="L63" s="917">
        <f t="shared" si="51"/>
        <v>96607.199578915315</v>
      </c>
      <c r="M63" s="917">
        <f t="shared" si="51"/>
        <v>103887.64957891531</v>
      </c>
      <c r="N63" s="917">
        <f t="shared" si="51"/>
        <v>111168.09957891531</v>
      </c>
      <c r="O63" s="183">
        <f>AVERAGE(J63,T63)</f>
        <v>118448.54957891531</v>
      </c>
      <c r="P63" s="183">
        <f>AVERAGE(O63,R63)</f>
        <v>127549.11207891529</v>
      </c>
      <c r="Q63" s="183">
        <f>AVERAGE($P$63,R63)</f>
        <v>132099.39332891529</v>
      </c>
      <c r="R63" s="183">
        <f>AVERAGE($O$63,T63)</f>
        <v>136649.67457891529</v>
      </c>
      <c r="S63" s="183">
        <f>AVERAGE($R$63,T63)</f>
        <v>145750.23707891529</v>
      </c>
      <c r="T63" s="723">
        <f>Meetmed_maksumustega_2030!AC59</f>
        <v>154850.79957891529</v>
      </c>
      <c r="U63" s="917"/>
      <c r="V63" s="922"/>
      <c r="W63" s="922"/>
      <c r="X63" s="922"/>
      <c r="Y63" s="923"/>
      <c r="Z63" s="923"/>
      <c r="AA63" s="924"/>
      <c r="AB63" s="924"/>
      <c r="AC63" s="924"/>
      <c r="AD63" s="924"/>
      <c r="AE63" s="924"/>
      <c r="AF63" s="924"/>
      <c r="AG63" s="924"/>
      <c r="AH63" s="924"/>
      <c r="AI63" s="924"/>
      <c r="AJ63" s="924"/>
      <c r="AK63" s="924"/>
    </row>
    <row r="64" spans="1:37">
      <c r="B64" s="185" t="s">
        <v>201</v>
      </c>
      <c r="C64" s="719"/>
      <c r="D64" s="185"/>
      <c r="E64" s="715">
        <f>SUM(E61:E62)</f>
        <v>452553.44974941283</v>
      </c>
      <c r="F64" s="1104">
        <f t="shared" si="50"/>
        <v>461171.48912837351</v>
      </c>
      <c r="G64" s="1104">
        <f t="shared" si="50"/>
        <v>469789.52850733418</v>
      </c>
      <c r="H64" s="1104">
        <f t="shared" si="50"/>
        <v>478407.56788629491</v>
      </c>
      <c r="I64" s="1104">
        <f t="shared" si="50"/>
        <v>487025.60726525559</v>
      </c>
      <c r="J64" s="715">
        <f>SUM(J61:J62)</f>
        <v>495643.64664421626</v>
      </c>
      <c r="K64" s="715">
        <f t="shared" si="51"/>
        <v>504966.15420924732</v>
      </c>
      <c r="L64" s="715">
        <f t="shared" si="51"/>
        <v>514288.66177427844</v>
      </c>
      <c r="M64" s="715">
        <f t="shared" si="51"/>
        <v>523611.1693393095</v>
      </c>
      <c r="N64" s="715">
        <f t="shared" si="51"/>
        <v>532933.67690434062</v>
      </c>
      <c r="O64" s="715">
        <f t="shared" ref="O64:X64" si="54">SUM(O61:O62)</f>
        <v>542256.18446937168</v>
      </c>
      <c r="P64" s="715">
        <f t="shared" si="52"/>
        <v>546169.41205892409</v>
      </c>
      <c r="Q64" s="715">
        <f t="shared" si="52"/>
        <v>550082.6396484765</v>
      </c>
      <c r="R64" s="715">
        <f t="shared" si="52"/>
        <v>553995.86723802891</v>
      </c>
      <c r="S64" s="715">
        <f t="shared" si="52"/>
        <v>557909.09482758131</v>
      </c>
      <c r="T64" s="715">
        <f t="shared" si="54"/>
        <v>561822.32241713372</v>
      </c>
      <c r="U64" s="715">
        <f t="shared" si="54"/>
        <v>561248.63148949924</v>
      </c>
      <c r="V64" s="749">
        <f t="shared" si="54"/>
        <v>561721.64960350026</v>
      </c>
      <c r="W64" s="749">
        <f t="shared" si="54"/>
        <v>563157.20368315256</v>
      </c>
      <c r="X64" s="749">
        <f t="shared" si="54"/>
        <v>565509.05149463331</v>
      </c>
      <c r="Y64" s="128"/>
      <c r="Z64" s="128"/>
    </row>
    <row r="65" spans="2:37" s="480" customFormat="1">
      <c r="B65" s="720" t="str">
        <f>B29</f>
        <v>Aktsiis ja transpordimaksud kokku</v>
      </c>
      <c r="C65" s="721"/>
      <c r="D65" s="722">
        <f>D29</f>
        <v>332254.11424651969</v>
      </c>
      <c r="E65" s="722">
        <f>E29</f>
        <v>409018.18092902761</v>
      </c>
      <c r="F65" s="722">
        <f t="shared" si="50"/>
        <v>434871.96393859282</v>
      </c>
      <c r="G65" s="722">
        <f t="shared" si="50"/>
        <v>460725.74694815796</v>
      </c>
      <c r="H65" s="722">
        <f t="shared" si="50"/>
        <v>486579.52995772316</v>
      </c>
      <c r="I65" s="722">
        <f t="shared" si="50"/>
        <v>512433.31296728831</v>
      </c>
      <c r="J65" s="722">
        <f>J29</f>
        <v>538287.09597685351</v>
      </c>
      <c r="K65" s="722">
        <f t="shared" si="51"/>
        <v>543198.90615879861</v>
      </c>
      <c r="L65" s="722">
        <f t="shared" si="51"/>
        <v>548110.71634074382</v>
      </c>
      <c r="M65" s="722">
        <f t="shared" si="51"/>
        <v>553022.52652268892</v>
      </c>
      <c r="N65" s="722">
        <f t="shared" si="51"/>
        <v>557934.33670463413</v>
      </c>
      <c r="O65" s="722">
        <f>O29</f>
        <v>562846.14688657923</v>
      </c>
      <c r="P65" s="722">
        <f t="shared" si="52"/>
        <v>567757.95706852432</v>
      </c>
      <c r="Q65" s="722">
        <f t="shared" si="52"/>
        <v>572669.76725046954</v>
      </c>
      <c r="R65" s="722">
        <f t="shared" si="52"/>
        <v>577581.57743241463</v>
      </c>
      <c r="S65" s="722">
        <f t="shared" si="52"/>
        <v>582493.38761435985</v>
      </c>
      <c r="T65" s="722">
        <f t="shared" ref="T65:X66" si="55">T29</f>
        <v>587405.19779630494</v>
      </c>
      <c r="U65" s="722">
        <f t="shared" si="55"/>
        <v>572316.05019096693</v>
      </c>
      <c r="V65" s="750">
        <f t="shared" si="55"/>
        <v>559105.65258562891</v>
      </c>
      <c r="W65" s="750">
        <f t="shared" si="55"/>
        <v>567984.48503295996</v>
      </c>
      <c r="X65" s="750">
        <f t="shared" si="55"/>
        <v>538895.30034370301</v>
      </c>
      <c r="Y65" s="481"/>
      <c r="Z65" s="481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</row>
    <row r="66" spans="2:37" s="480" customFormat="1">
      <c r="B66" s="481" t="str">
        <f>B30</f>
        <v>Võrdlus BAU aktsiisi ja maksutuluga</v>
      </c>
      <c r="C66" s="707"/>
      <c r="D66" s="482"/>
      <c r="E66" s="482">
        <f>E30</f>
        <v>1129444.8061100517</v>
      </c>
      <c r="F66" s="482">
        <f t="shared" si="50"/>
        <v>1123245.7777256412</v>
      </c>
      <c r="G66" s="482">
        <f t="shared" si="50"/>
        <v>1117046.7493412304</v>
      </c>
      <c r="H66" s="482">
        <f t="shared" si="50"/>
        <v>1110847.7209568198</v>
      </c>
      <c r="I66" s="482">
        <f t="shared" si="50"/>
        <v>1104648.6925724091</v>
      </c>
      <c r="J66" s="482">
        <f>J30</f>
        <v>1098449.6641879985</v>
      </c>
      <c r="K66" s="482">
        <f t="shared" si="51"/>
        <v>1095210.4258706865</v>
      </c>
      <c r="L66" s="482">
        <f t="shared" si="51"/>
        <v>1091971.1875533746</v>
      </c>
      <c r="M66" s="482">
        <f t="shared" si="51"/>
        <v>1088731.9492360628</v>
      </c>
      <c r="N66" s="482">
        <f t="shared" si="51"/>
        <v>1085492.7109187508</v>
      </c>
      <c r="O66" s="482">
        <f>O30</f>
        <v>1082253.4726014389</v>
      </c>
      <c r="P66" s="482">
        <f t="shared" si="52"/>
        <v>1079014.2342841269</v>
      </c>
      <c r="Q66" s="482">
        <f t="shared" si="52"/>
        <v>1075774.9959668152</v>
      </c>
      <c r="R66" s="482">
        <f t="shared" si="52"/>
        <v>1072535.7576495032</v>
      </c>
      <c r="S66" s="482">
        <f t="shared" si="52"/>
        <v>1069296.5193321914</v>
      </c>
      <c r="T66" s="482">
        <f t="shared" si="55"/>
        <v>1066057.2810148795</v>
      </c>
      <c r="U66" s="482">
        <f t="shared" si="55"/>
        <v>954751.24845890654</v>
      </c>
      <c r="V66" s="751">
        <f t="shared" si="55"/>
        <v>843445.21590293339</v>
      </c>
      <c r="W66" s="751">
        <f t="shared" si="55"/>
        <v>787792.19962494692</v>
      </c>
      <c r="X66" s="751">
        <f t="shared" si="55"/>
        <v>620833.15079098765</v>
      </c>
      <c r="Y66" s="481"/>
      <c r="Z66" s="481"/>
      <c r="AA66" s="484"/>
      <c r="AB66" s="484"/>
      <c r="AC66" s="484"/>
      <c r="AD66" s="484"/>
      <c r="AE66" s="481"/>
      <c r="AF66" s="481"/>
      <c r="AG66" s="481"/>
      <c r="AH66" s="481"/>
      <c r="AI66" s="481"/>
      <c r="AJ66" s="481"/>
    </row>
    <row r="67" spans="2:37" s="432" customFormat="1">
      <c r="B67" s="824" t="s">
        <v>316</v>
      </c>
      <c r="C67" s="825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826"/>
      <c r="W67" s="826"/>
      <c r="X67" s="826"/>
      <c r="Y67" s="431"/>
      <c r="Z67" s="431"/>
      <c r="AA67" s="262"/>
      <c r="AB67" s="262"/>
      <c r="AC67" s="262"/>
      <c r="AD67" s="262"/>
      <c r="AE67" s="431"/>
      <c r="AF67" s="431"/>
      <c r="AG67" s="431"/>
      <c r="AH67" s="431"/>
      <c r="AI67" s="431"/>
      <c r="AJ67" s="431"/>
    </row>
    <row r="68" spans="2:37">
      <c r="B68" s="128" t="s">
        <v>317</v>
      </c>
      <c r="C68" s="690"/>
      <c r="D68" s="128"/>
      <c r="E68" s="128"/>
      <c r="F68" s="458">
        <v>0</v>
      </c>
      <c r="G68" s="458">
        <v>0</v>
      </c>
      <c r="H68" s="458">
        <v>0</v>
      </c>
      <c r="I68" s="458">
        <v>0</v>
      </c>
      <c r="J68" s="155">
        <f>'kl tervisemõju'!D10</f>
        <v>34421.274221411193</v>
      </c>
      <c r="K68" s="458">
        <f t="shared" si="51"/>
        <v>49213.520689400109</v>
      </c>
      <c r="L68" s="458">
        <f t="shared" si="51"/>
        <v>64005.767157389026</v>
      </c>
      <c r="M68" s="458">
        <f t="shared" si="51"/>
        <v>78798.013625377935</v>
      </c>
      <c r="N68" s="458">
        <f t="shared" si="51"/>
        <v>93590.260093366844</v>
      </c>
      <c r="O68" s="155">
        <f>'kl tervisemõju'!E10</f>
        <v>108382.50656135577</v>
      </c>
      <c r="P68" s="458">
        <f t="shared" si="52"/>
        <v>123174.75302934468</v>
      </c>
      <c r="Q68" s="458">
        <f t="shared" si="52"/>
        <v>137966.9994973336</v>
      </c>
      <c r="R68" s="458">
        <f t="shared" si="52"/>
        <v>152759.24596532251</v>
      </c>
      <c r="S68" s="458">
        <f t="shared" si="52"/>
        <v>167551.49243331142</v>
      </c>
      <c r="T68" s="155">
        <f>'kl tervisemõju'!F10</f>
        <v>182343.73890130033</v>
      </c>
      <c r="U68" s="155">
        <f>'kl tervisemõju'!G10</f>
        <v>271681.18975507043</v>
      </c>
      <c r="V68" s="155">
        <f>'kl tervisemõju'!H10</f>
        <v>361018.64060884045</v>
      </c>
      <c r="W68" s="155">
        <f>'kl tervisemõju'!I10</f>
        <v>450356.09146261052</v>
      </c>
      <c r="X68" s="155">
        <f>'kl tervisemõju'!J10</f>
        <v>539693.54231638054</v>
      </c>
      <c r="Y68" s="128"/>
      <c r="Z68" s="128"/>
      <c r="AA68" s="258"/>
      <c r="AB68" s="258"/>
      <c r="AC68" s="258"/>
      <c r="AD68" s="258"/>
      <c r="AE68" s="128"/>
      <c r="AF68" s="128"/>
      <c r="AG68" s="128"/>
      <c r="AH68" s="128"/>
      <c r="AI68" s="128"/>
      <c r="AJ68" s="128"/>
    </row>
    <row r="69" spans="2:37">
      <c r="B69" s="128"/>
      <c r="C69" s="690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746"/>
      <c r="W69" s="746"/>
      <c r="X69" s="746"/>
      <c r="Y69" s="128"/>
      <c r="Z69" s="128"/>
      <c r="AA69" s="258"/>
      <c r="AB69" s="258"/>
      <c r="AC69" s="258"/>
      <c r="AD69" s="258"/>
      <c r="AE69" s="128"/>
      <c r="AF69" s="128"/>
      <c r="AG69" s="128"/>
      <c r="AH69" s="128"/>
      <c r="AI69" s="128"/>
      <c r="AJ69" s="128"/>
    </row>
    <row r="70" spans="2:37">
      <c r="B70" s="128"/>
      <c r="C70" s="690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746"/>
      <c r="W70" s="746"/>
      <c r="X70" s="746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</row>
    <row r="71" spans="2:37">
      <c r="B71" s="128" t="s">
        <v>463</v>
      </c>
      <c r="C71" s="690"/>
      <c r="D71" s="128"/>
      <c r="E71" s="474">
        <f>E14*CO2valiskulu!$D$5/1000</f>
        <v>54909.260622763381</v>
      </c>
      <c r="F71" s="474">
        <f>F14*CO2valiskulu!$D$5/1000</f>
        <v>53862.002381350496</v>
      </c>
      <c r="G71" s="474">
        <f>G14*CO2valiskulu!$D$5/1000</f>
        <v>52814.744139937618</v>
      </c>
      <c r="H71" s="474">
        <f>H14*CO2valiskulu!$D$5/1000</f>
        <v>51767.485898524741</v>
      </c>
      <c r="I71" s="474">
        <f>I14*CO2valiskulu!$D$5/1000</f>
        <v>50720.227657111864</v>
      </c>
      <c r="J71" s="474">
        <f>J14*CO2valiskulu!D6/1000</f>
        <v>79476.751065118369</v>
      </c>
      <c r="K71" s="474"/>
      <c r="L71" s="474"/>
      <c r="M71" s="474"/>
      <c r="N71" s="474"/>
      <c r="O71" s="474"/>
      <c r="P71" s="474"/>
      <c r="Q71" s="474"/>
      <c r="R71" s="474"/>
      <c r="S71" s="474"/>
      <c r="T71" s="474">
        <f>T14*CO2valiskulu!D7/1000</f>
        <v>78849.66713792755</v>
      </c>
      <c r="U71" s="474"/>
      <c r="V71" s="745">
        <f>V14*CO2valiskulu!D8/1000</f>
        <v>68758.035578260082</v>
      </c>
      <c r="W71" s="745"/>
      <c r="X71" s="745">
        <f>X14*CO2valiskulu!D9/1000</f>
        <v>45125.224204172198</v>
      </c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</row>
    <row r="72" spans="2:37">
      <c r="B72" s="128" t="s">
        <v>464</v>
      </c>
      <c r="C72" s="690"/>
      <c r="D72" s="128"/>
      <c r="E72" s="455">
        <f t="shared" ref="E72:J72" si="56">SUM(E70:E71)</f>
        <v>54909.260622763381</v>
      </c>
      <c r="F72" s="455">
        <f t="shared" si="56"/>
        <v>53862.002381350496</v>
      </c>
      <c r="G72" s="455">
        <f t="shared" si="56"/>
        <v>52814.744139937618</v>
      </c>
      <c r="H72" s="455">
        <f t="shared" si="56"/>
        <v>51767.485898524741</v>
      </c>
      <c r="I72" s="455">
        <f t="shared" si="56"/>
        <v>50720.227657111864</v>
      </c>
      <c r="J72" s="455">
        <f t="shared" si="56"/>
        <v>79476.751065118369</v>
      </c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746"/>
      <c r="W72" s="746"/>
      <c r="X72" s="746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</row>
    <row r="73" spans="2:37">
      <c r="B73" s="128"/>
      <c r="C73" s="690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746"/>
      <c r="W73" s="746"/>
      <c r="X73" s="746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</row>
    <row r="74" spans="2:37">
      <c r="B74" s="128" t="s">
        <v>479</v>
      </c>
      <c r="C74" s="690"/>
      <c r="D74" s="128"/>
      <c r="E74" s="455">
        <f>SUM(E40+E53)</f>
        <v>927613.9334102564</v>
      </c>
      <c r="F74" s="455">
        <f t="shared" ref="F74:X74" si="57">SUM(F40+F53)</f>
        <v>927907.1397066667</v>
      </c>
      <c r="G74" s="455">
        <f t="shared" si="57"/>
        <v>928200.34600307711</v>
      </c>
      <c r="H74" s="455">
        <f t="shared" si="57"/>
        <v>928493.55229948717</v>
      </c>
      <c r="I74" s="455">
        <f t="shared" si="57"/>
        <v>928786.75859589747</v>
      </c>
      <c r="J74" s="455">
        <f t="shared" si="57"/>
        <v>929079.96489230776</v>
      </c>
      <c r="K74" s="455">
        <f t="shared" si="57"/>
        <v>931169.16329333349</v>
      </c>
      <c r="L74" s="455">
        <f t="shared" si="57"/>
        <v>933258.36169435899</v>
      </c>
      <c r="M74" s="455">
        <f t="shared" si="57"/>
        <v>935347.5600953846</v>
      </c>
      <c r="N74" s="455">
        <f t="shared" si="57"/>
        <v>937436.75849641033</v>
      </c>
      <c r="O74" s="455">
        <f t="shared" si="57"/>
        <v>939525.95689743594</v>
      </c>
      <c r="P74" s="455">
        <f t="shared" si="57"/>
        <v>930084.63539076922</v>
      </c>
      <c r="Q74" s="455">
        <f t="shared" si="57"/>
        <v>920643.31388410251</v>
      </c>
      <c r="R74" s="455">
        <f t="shared" si="57"/>
        <v>911201.9923774359</v>
      </c>
      <c r="S74" s="455">
        <f t="shared" si="57"/>
        <v>901760.6708707693</v>
      </c>
      <c r="T74" s="455">
        <f t="shared" si="57"/>
        <v>892319.34936410259</v>
      </c>
      <c r="U74" s="455">
        <f t="shared" si="57"/>
        <v>891219.43949743593</v>
      </c>
      <c r="V74" s="455">
        <f t="shared" si="57"/>
        <v>901692.57629743591</v>
      </c>
      <c r="W74" s="455">
        <f t="shared" si="57"/>
        <v>911282.66029743594</v>
      </c>
      <c r="X74" s="455">
        <f t="shared" si="57"/>
        <v>921687.1078974359</v>
      </c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</row>
    <row r="75" spans="2:37">
      <c r="B75" s="128"/>
      <c r="C75" s="690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746"/>
      <c r="W75" s="746"/>
      <c r="X75" s="746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</row>
    <row r="76" spans="2:37">
      <c r="B76" s="128"/>
      <c r="C76" s="690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746"/>
      <c r="W76" s="746"/>
      <c r="X76" s="746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</row>
    <row r="77" spans="2:37">
      <c r="B77" s="128"/>
      <c r="C77" s="690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746"/>
      <c r="W77" s="746"/>
      <c r="X77" s="746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</row>
    <row r="78" spans="2:37">
      <c r="B78" s="128"/>
      <c r="C78" s="690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746"/>
      <c r="W78" s="746"/>
      <c r="X78" s="746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</row>
    <row r="79" spans="2:37">
      <c r="B79" s="128"/>
      <c r="C79" s="690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746"/>
      <c r="W79" s="746"/>
      <c r="X79" s="746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</row>
    <row r="80" spans="2:37">
      <c r="B80" s="128"/>
      <c r="C80" s="690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746"/>
      <c r="W80" s="746"/>
      <c r="X80" s="746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</row>
    <row r="81" spans="2:36">
      <c r="B81" s="128"/>
      <c r="C81" s="690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746"/>
      <c r="W81" s="746"/>
      <c r="X81" s="746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</row>
    <row r="82" spans="2:36">
      <c r="B82" s="128"/>
      <c r="C82" s="690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746"/>
      <c r="W82" s="746"/>
      <c r="X82" s="746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</row>
    <row r="83" spans="2:36">
      <c r="B83" s="128"/>
      <c r="C83" s="690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746"/>
      <c r="W83" s="746"/>
      <c r="X83" s="746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</row>
    <row r="84" spans="2:36">
      <c r="B84" s="128"/>
      <c r="C84" s="690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746"/>
      <c r="W84" s="746"/>
      <c r="X84" s="746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</row>
  </sheetData>
  <pageMargins left="0.7" right="0.7" top="0.75" bottom="0.75" header="0.3" footer="0.3"/>
  <pageSetup paperSize="9" orientation="portrait" r:id="rId1"/>
  <ignoredErrors>
    <ignoredError sqref="O13 J6:J7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7"/>
  <sheetViews>
    <sheetView topLeftCell="A13" workbookViewId="0">
      <selection activeCell="A14" sqref="A14:F29"/>
    </sheetView>
  </sheetViews>
  <sheetFormatPr defaultColWidth="11.42578125" defaultRowHeight="12.75"/>
  <cols>
    <col min="1" max="1" width="28.7109375" customWidth="1"/>
    <col min="2" max="2" width="11.7109375" customWidth="1"/>
    <col min="3" max="4" width="11.28515625" customWidth="1"/>
    <col min="5" max="5" width="11.85546875" customWidth="1"/>
    <col min="6" max="6" width="10.85546875" customWidth="1"/>
  </cols>
  <sheetData>
    <row r="2" spans="1:17" ht="13.5" thickBot="1"/>
    <row r="3" spans="1:17" ht="26.25" thickBot="1">
      <c r="A3" s="904" t="s">
        <v>406</v>
      </c>
      <c r="B3" s="910" t="s">
        <v>474</v>
      </c>
      <c r="C3" s="910" t="s">
        <v>475</v>
      </c>
      <c r="D3" s="910" t="s">
        <v>476</v>
      </c>
    </row>
    <row r="4" spans="1:17" ht="13.5" thickBot="1">
      <c r="A4" s="909" t="s">
        <v>407</v>
      </c>
      <c r="B4" s="960">
        <f>ROUND(tbl_joonised_aruandesse!B4/1000,0)*1000</f>
        <v>48000</v>
      </c>
      <c r="C4" s="960">
        <f>ROUND(tbl_joonised_aruandesse!C4/1000,0)*1000</f>
        <v>40000</v>
      </c>
      <c r="D4" s="960">
        <f>ROUND(tbl_joonised_aruandesse!D4/1000,0)*1000</f>
        <v>29000</v>
      </c>
    </row>
    <row r="5" spans="1:17" ht="26.25" thickBot="1">
      <c r="A5" s="909" t="s">
        <v>414</v>
      </c>
      <c r="B5" s="975">
        <f>tbl_joonised_aruandesse!B5</f>
        <v>0.60159022868018575</v>
      </c>
      <c r="C5" s="975">
        <f>tbl_joonised_aruandesse!C5</f>
        <v>0.34166215213337203</v>
      </c>
      <c r="D5" s="975">
        <f>tbl_joonised_aruandesse!D5</f>
        <v>-2.1173062509152296E-2</v>
      </c>
    </row>
    <row r="6" spans="1:17" ht="15" thickBot="1">
      <c r="A6" s="909" t="s">
        <v>409</v>
      </c>
      <c r="B6" s="960">
        <f>ROUND(tbl_joonised_aruandesse!B6/1000,0)*1000</f>
        <v>3087000</v>
      </c>
      <c r="C6" s="960">
        <f>ROUND(tbl_joonised_aruandesse!C6/1000,0)*1000</f>
        <v>2359000</v>
      </c>
      <c r="D6" s="960">
        <f>ROUND(tbl_joonised_aruandesse!D6/1000,0)*1000</f>
        <v>1434000</v>
      </c>
    </row>
    <row r="7" spans="1:17" ht="13.5" thickBot="1">
      <c r="A7" s="963" t="s">
        <v>408</v>
      </c>
      <c r="B7" s="975">
        <f>tbl_joonised_aruandesse!B7</f>
        <v>0.37332440853801652</v>
      </c>
      <c r="C7" s="975">
        <f>tbl_joonised_aruandesse!C7</f>
        <v>4.95060319056011E-2</v>
      </c>
      <c r="D7" s="975">
        <f>tbl_joonised_aruandesse!D7</f>
        <v>-0.3622640962639313</v>
      </c>
    </row>
    <row r="8" spans="1:17" ht="13.5" thickBot="1">
      <c r="A8" s="909" t="s">
        <v>410</v>
      </c>
      <c r="B8" s="960">
        <f>ROUND(tbl_joonised_aruandesse!B8/1000,0)*1000</f>
        <v>44000</v>
      </c>
      <c r="C8" s="960">
        <f>ROUND(tbl_joonised_aruandesse!C8/1000,0)*1000</f>
        <v>34000</v>
      </c>
      <c r="D8" s="960">
        <f>ROUND(tbl_joonised_aruandesse!D8/1000,0)*1000</f>
        <v>22000</v>
      </c>
    </row>
    <row r="9" spans="1:17" ht="13.5" thickBot="1">
      <c r="A9" s="963" t="s">
        <v>408</v>
      </c>
      <c r="B9" s="975">
        <f>tbl_joonised_aruandesse!B9</f>
        <v>0.45907463772356416</v>
      </c>
      <c r="C9" s="975">
        <f>tbl_joonised_aruandesse!C9</f>
        <v>0.13378533324915387</v>
      </c>
      <c r="D9" s="975">
        <f>tbl_joonised_aruandesse!D9</f>
        <v>-0.27678130750884644</v>
      </c>
      <c r="O9" s="1103"/>
    </row>
    <row r="10" spans="1:17" ht="26.25" thickBot="1">
      <c r="A10" s="909" t="s">
        <v>411</v>
      </c>
      <c r="B10" s="960">
        <f>ROUND(tbl_joonised_aruandesse!B10/1000,1)*1000</f>
        <v>4300</v>
      </c>
      <c r="C10" s="960">
        <f>ROUND(tbl_joonised_aruandesse!C10/1000,1)*1000</f>
        <v>6200</v>
      </c>
      <c r="D10" s="960">
        <f>ROUND(tbl_joonised_aruandesse!D10/1000,1)*1000</f>
        <v>7600</v>
      </c>
      <c r="H10" s="1096"/>
      <c r="I10" s="1097"/>
      <c r="J10" s="1097"/>
      <c r="K10" s="1097"/>
      <c r="N10" s="1096"/>
      <c r="O10" s="1097" t="s">
        <v>125</v>
      </c>
      <c r="P10" s="1097" t="s">
        <v>436</v>
      </c>
      <c r="Q10" s="1097" t="s">
        <v>166</v>
      </c>
    </row>
    <row r="11" spans="1:17" ht="51.75" thickBot="1">
      <c r="A11" s="965" t="s">
        <v>492</v>
      </c>
      <c r="B11" s="908">
        <f>tbl_joonised_aruandesse!B11</f>
        <v>8.898380397466836E-2</v>
      </c>
      <c r="C11" s="908">
        <f>tbl_joonised_aruandesse!C11</f>
        <v>0.1549397652409544</v>
      </c>
      <c r="D11" s="908">
        <f>tbl_joonised_aruandesse!D11</f>
        <v>0.2611373218384524</v>
      </c>
      <c r="H11" s="1098"/>
      <c r="I11" s="1099"/>
      <c r="J11" s="1099"/>
      <c r="K11" s="1100"/>
      <c r="L11" s="1119"/>
      <c r="M11" s="1120"/>
      <c r="N11" s="1098" t="s">
        <v>201</v>
      </c>
      <c r="O11" s="1105">
        <f>SUM(TransportBAU!E61:T61)/1000</f>
        <v>7355.8305842907612</v>
      </c>
      <c r="P11" s="1105">
        <f>SUM(VS_TAK!E64:T64)/1000</f>
        <v>7843.198347381971</v>
      </c>
      <c r="Q11" s="1106">
        <f>SUM(TransportEE!E64:T64)/1000</f>
        <v>8232.626472067579</v>
      </c>
    </row>
    <row r="12" spans="1:17" ht="38.25">
      <c r="H12" s="1102"/>
      <c r="I12" s="1099"/>
      <c r="J12" s="1099"/>
      <c r="K12" s="1100"/>
      <c r="L12" s="1119"/>
      <c r="M12" s="1120"/>
      <c r="N12" s="1102" t="s">
        <v>417</v>
      </c>
      <c r="O12" s="1099">
        <v>0</v>
      </c>
      <c r="P12" s="1099">
        <f>SUM(VS_TAK!E63:T63)/1000</f>
        <v>989.09569916132705</v>
      </c>
      <c r="Q12" s="1100">
        <f>SUM(TransportEE!E63:T63)/1000</f>
        <v>1708.6152620126454</v>
      </c>
    </row>
    <row r="13" spans="1:17" ht="13.5" thickBot="1">
      <c r="A13" s="872"/>
      <c r="B13" s="872"/>
      <c r="C13" s="872"/>
      <c r="D13" s="872"/>
      <c r="E13" s="958" t="s">
        <v>467</v>
      </c>
      <c r="F13" s="912"/>
    </row>
    <row r="14" spans="1:17" ht="26.25" thickBot="1">
      <c r="A14" s="910" t="s">
        <v>512</v>
      </c>
      <c r="B14" s="910" t="s">
        <v>474</v>
      </c>
      <c r="C14" s="910" t="s">
        <v>475</v>
      </c>
      <c r="D14" s="910" t="s">
        <v>549</v>
      </c>
      <c r="E14" s="910" t="s">
        <v>472</v>
      </c>
      <c r="F14" s="910" t="s">
        <v>473</v>
      </c>
    </row>
    <row r="15" spans="1:17" ht="13.5" thickBot="1">
      <c r="A15" s="991" t="s">
        <v>502</v>
      </c>
      <c r="B15" s="974">
        <f>ROUND(tbl_joonised_aruandesse!B15/1000,-2)</f>
        <v>31400</v>
      </c>
      <c r="C15" s="974">
        <f>ROUND(tbl_joonised_aruandesse!C15/1000,-2)</f>
        <v>30600</v>
      </c>
      <c r="D15" s="974">
        <f>ROUND(tbl_joonised_aruandesse!D15/1000,-2)</f>
        <v>29400</v>
      </c>
      <c r="E15" s="974">
        <f>ROUND(tbl_joonised_aruandesse!E15/1000,-2)</f>
        <v>900</v>
      </c>
      <c r="F15" s="974">
        <f>ROUND(tbl_joonised_aruandesse!F15/1000,-2)</f>
        <v>2000</v>
      </c>
    </row>
    <row r="16" spans="1:17" ht="13.5" thickBot="1">
      <c r="A16" s="992" t="s">
        <v>506</v>
      </c>
      <c r="B16" s="974">
        <f>ROUND(tbl_joonised_aruandesse!B16/1000,-2)</f>
        <v>1800</v>
      </c>
      <c r="C16" s="974">
        <f>ROUND(tbl_joonised_aruandesse!C16/1000,-2)</f>
        <v>1700</v>
      </c>
      <c r="D16" s="974">
        <f>ROUND(tbl_joonised_aruandesse!D16/1000,-2)</f>
        <v>1500</v>
      </c>
      <c r="E16" s="974">
        <f>ROUND(tbl_joonised_aruandesse!E16/1000,-2)</f>
        <v>100</v>
      </c>
      <c r="F16" s="974">
        <f>ROUND(tbl_joonised_aruandesse!F16/1000,-2)</f>
        <v>300</v>
      </c>
    </row>
    <row r="17" spans="1:6" ht="13.5" thickBot="1">
      <c r="A17" s="992" t="s">
        <v>507</v>
      </c>
      <c r="B17" s="974">
        <f>ROUND(tbl_joonised_aruandesse!B17/1000,-1)</f>
        <v>4110</v>
      </c>
      <c r="C17" s="974">
        <f>ROUND(tbl_joonised_aruandesse!C17/1000,-1)</f>
        <v>4060</v>
      </c>
      <c r="D17" s="974">
        <f>ROUND(tbl_joonised_aruandesse!D17/1000,-1)</f>
        <v>4130</v>
      </c>
      <c r="E17" s="974">
        <f>ROUND(tbl_joonised_aruandesse!E17/1000,-1)</f>
        <v>50</v>
      </c>
      <c r="F17" s="974">
        <f>ROUND(tbl_joonised_aruandesse!F17/1000,-1)</f>
        <v>-10</v>
      </c>
    </row>
    <row r="18" spans="1:6" ht="13.5" thickBot="1">
      <c r="A18" s="992" t="s">
        <v>468</v>
      </c>
      <c r="B18" s="974">
        <f>ROUND(tbl_joonised_aruandesse!B18/1000,-2)</f>
        <v>1400</v>
      </c>
      <c r="C18" s="974">
        <f>ROUND(tbl_joonised_aruandesse!C18/1000,-2)</f>
        <v>1500</v>
      </c>
      <c r="D18" s="974">
        <f>ROUND(tbl_joonised_aruandesse!D18/1000,-2)</f>
        <v>1600</v>
      </c>
      <c r="E18" s="974">
        <f>ROUND(tbl_joonised_aruandesse!E18/1000,-1)</f>
        <v>-70</v>
      </c>
      <c r="F18" s="974">
        <f>ROUND(tbl_joonised_aruandesse!F18/1000,-1)</f>
        <v>-160</v>
      </c>
    </row>
    <row r="19" spans="1:6" ht="13.5" thickBot="1">
      <c r="A19" s="992" t="s">
        <v>508</v>
      </c>
      <c r="B19" s="974">
        <f>ROUND(tbl_joonised_aruandesse!B19/1000,-2)</f>
        <v>23700</v>
      </c>
      <c r="C19" s="974">
        <f>ROUND(tbl_joonised_aruandesse!C19/1000,-2)</f>
        <v>20700</v>
      </c>
      <c r="D19" s="974">
        <f>ROUND(tbl_joonised_aruandesse!D19/1000,-2)</f>
        <v>17500</v>
      </c>
      <c r="E19" s="974">
        <f>ROUND(tbl_joonised_aruandesse!E19/1000,-1)</f>
        <v>2970</v>
      </c>
      <c r="F19" s="974">
        <f>ROUND(tbl_joonised_aruandesse!F19/1000,-1)</f>
        <v>6230</v>
      </c>
    </row>
    <row r="20" spans="1:6" ht="13.5" thickBot="1">
      <c r="A20" s="992" t="s">
        <v>509</v>
      </c>
      <c r="B20" s="974">
        <f>ROUND(tbl_joonised_aruandesse!B20/1000,-2)</f>
        <v>400</v>
      </c>
      <c r="C20" s="974">
        <f>ROUND(tbl_joonised_aruandesse!C20/1000,-2)</f>
        <v>2000</v>
      </c>
      <c r="D20" s="974">
        <f>ROUND(tbl_joonised_aruandesse!D20/1000,-2)</f>
        <v>3700</v>
      </c>
      <c r="E20" s="974">
        <f>ROUND(tbl_joonised_aruandesse!E20/1000,-1)</f>
        <v>-1670</v>
      </c>
      <c r="F20" s="974">
        <f>ROUND(tbl_joonised_aruandesse!F20/1000,-1)</f>
        <v>-3350</v>
      </c>
    </row>
    <row r="21" spans="1:6" ht="13.5" thickBot="1">
      <c r="A21" s="911" t="s">
        <v>510</v>
      </c>
      <c r="B21" s="974">
        <f>ROUND(tbl_joonised_aruandesse!B21/1000,-2)</f>
        <v>0</v>
      </c>
      <c r="C21" s="974">
        <f>ROUND(tbl_joonised_aruandesse!C21/1000,-1)</f>
        <v>540</v>
      </c>
      <c r="D21" s="974">
        <f>ROUND(tbl_joonised_aruandesse!D21/1000,-1)</f>
        <v>1010</v>
      </c>
      <c r="E21" s="974">
        <f>ROUND(tbl_joonised_aruandesse!E21/1000,-1)</f>
        <v>-540</v>
      </c>
      <c r="F21" s="974">
        <f>ROUND(tbl_joonised_aruandesse!F21/1000,-1)</f>
        <v>-1010</v>
      </c>
    </row>
    <row r="22" spans="1:6" ht="13.5" thickBot="1">
      <c r="A22" s="991" t="s">
        <v>511</v>
      </c>
      <c r="B22" s="974">
        <f>ROUND(tbl_joonised_aruandesse!B22/1000,-2)</f>
        <v>2800</v>
      </c>
      <c r="C22" s="974">
        <f>ROUND(tbl_joonised_aruandesse!C22/1000,-2)</f>
        <v>-100</v>
      </c>
      <c r="D22" s="974">
        <f>ROUND(tbl_joonised_aruandesse!D22/1000,-2)</f>
        <v>-800</v>
      </c>
      <c r="E22" s="974">
        <f>ROUND(tbl_joonised_aruandesse!E22/1000,-2)</f>
        <v>2900</v>
      </c>
      <c r="F22" s="974">
        <f>ROUND(tbl_joonised_aruandesse!F22/1000,-2)</f>
        <v>3700</v>
      </c>
    </row>
    <row r="23" spans="1:6" ht="13.5" thickBot="1">
      <c r="A23" s="992" t="s">
        <v>403</v>
      </c>
      <c r="B23" s="974">
        <f>ROUND(tbl_joonised_aruandesse!B23/1000,-1)</f>
        <v>1610</v>
      </c>
      <c r="C23" s="974">
        <f>ROUND(tbl_joonised_aruandesse!C23/1000,-1)</f>
        <v>370</v>
      </c>
      <c r="D23" s="974">
        <f>ROUND(tbl_joonised_aruandesse!D23/1000,-1)</f>
        <v>340</v>
      </c>
      <c r="E23" s="974">
        <f>ROUND(tbl_joonised_aruandesse!E23/1000,-1)</f>
        <v>1240</v>
      </c>
      <c r="F23" s="974">
        <f>ROUND(tbl_joonised_aruandesse!F23/1000,-1)</f>
        <v>1270</v>
      </c>
    </row>
    <row r="24" spans="1:6" ht="13.5" thickBot="1">
      <c r="A24" s="992" t="s">
        <v>503</v>
      </c>
      <c r="B24" s="974">
        <f>ROUND(tbl_joonised_aruandesse!B24/1000,-1)</f>
        <v>1190</v>
      </c>
      <c r="C24" s="974">
        <f>ROUND(tbl_joonised_aruandesse!C24/1000,-1)</f>
        <v>-440</v>
      </c>
      <c r="D24" s="974">
        <f>ROUND(tbl_joonised_aruandesse!D24/1000,-1)</f>
        <v>-1190</v>
      </c>
      <c r="E24" s="974">
        <f>ROUND(tbl_joonised_aruandesse!E24/1000,-1)</f>
        <v>1630</v>
      </c>
      <c r="F24" s="974">
        <f>ROUND(tbl_joonised_aruandesse!F24/1000,-1)</f>
        <v>2380</v>
      </c>
    </row>
    <row r="25" spans="1:6" ht="13.5" thickBot="1">
      <c r="A25" s="993" t="s">
        <v>418</v>
      </c>
      <c r="B25" s="974">
        <f>ROUND(tbl_joonised_aruandesse!B25/1000,-2)</f>
        <v>34200</v>
      </c>
      <c r="C25" s="974">
        <f>ROUND(tbl_joonised_aruandesse!C25/1000,-2)</f>
        <v>30500</v>
      </c>
      <c r="D25" s="974">
        <f>ROUND(tbl_joonised_aruandesse!D25/1000,-2)</f>
        <v>28600</v>
      </c>
      <c r="E25" s="974">
        <f>ROUND(tbl_joonised_aruandesse!E25/1000,-2)</f>
        <v>3700</v>
      </c>
      <c r="F25" s="974">
        <f>ROUND(tbl_joonised_aruandesse!F25/1000,-2)</f>
        <v>5700</v>
      </c>
    </row>
    <row r="26" spans="1:6" ht="26.25" thickBot="1">
      <c r="A26" s="993" t="s">
        <v>504</v>
      </c>
      <c r="B26" s="960"/>
      <c r="C26" s="960">
        <f>ROUND(tbl_joonised_aruandesse!C26/1000,1)*1000</f>
        <v>5600</v>
      </c>
      <c r="D26" s="960">
        <f>ROUND(tbl_joonised_aruandesse!D26/1000,1)*1000</f>
        <v>11300</v>
      </c>
      <c r="E26" s="960"/>
      <c r="F26" s="960"/>
    </row>
    <row r="27" spans="1:6" ht="26.25" thickBot="1">
      <c r="A27" s="993" t="s">
        <v>557</v>
      </c>
      <c r="B27" s="960"/>
      <c r="C27" s="960">
        <f>ROUND(tbl_joonised_aruandesse!C27/1000,0)</f>
        <v>-234</v>
      </c>
      <c r="D27" s="960">
        <f>ROUND(tbl_joonised_aruandesse!D27/1000,0)</f>
        <v>-354</v>
      </c>
      <c r="E27" s="960"/>
      <c r="F27" s="960"/>
    </row>
    <row r="28" spans="1:6" ht="13.5" thickBot="1">
      <c r="A28" s="963" t="s">
        <v>493</v>
      </c>
      <c r="B28" s="966"/>
      <c r="C28" s="970">
        <f>tbl_joonised_aruandesse!C28</f>
        <v>-41.960571874716351</v>
      </c>
      <c r="D28" s="970">
        <f>tbl_joonised_aruandesse!D28</f>
        <v>-31.388969478045706</v>
      </c>
      <c r="E28" s="970"/>
      <c r="F28" s="970"/>
    </row>
    <row r="29" spans="1:6" ht="13.5" thickBot="1">
      <c r="A29" s="972" t="s">
        <v>487</v>
      </c>
    </row>
    <row r="30" spans="1:6" ht="26.25" thickBot="1">
      <c r="A30" s="910" t="s">
        <v>513</v>
      </c>
      <c r="B30" s="905" t="s">
        <v>474</v>
      </c>
      <c r="C30" s="905" t="s">
        <v>475</v>
      </c>
      <c r="D30" s="905" t="s">
        <v>549</v>
      </c>
      <c r="E30" s="905" t="s">
        <v>472</v>
      </c>
      <c r="F30" s="905" t="s">
        <v>473</v>
      </c>
    </row>
    <row r="31" spans="1:6" ht="13.5" thickBot="1">
      <c r="A31" s="994" t="s">
        <v>422</v>
      </c>
      <c r="B31" s="960">
        <f>ROUND(tbl_joonised_aruandesse!B31/100000,1)*100</f>
        <v>7509.9999999999991</v>
      </c>
      <c r="C31" s="960">
        <f>ROUND(tbl_joonised_aruandesse!C31/100000,1)*100</f>
        <v>6160</v>
      </c>
      <c r="D31" s="960">
        <f>ROUND(tbl_joonised_aruandesse!D31/100000,1)*100</f>
        <v>4930</v>
      </c>
      <c r="E31" s="960">
        <f>ROUND(tbl_joonised_aruandesse!E31/100000,1)*100</f>
        <v>1340</v>
      </c>
      <c r="F31" s="960">
        <f>ROUND(tbl_joonised_aruandesse!F31/100000,1)*100</f>
        <v>2570</v>
      </c>
    </row>
    <row r="32" spans="1:6" ht="26.25" thickBot="1">
      <c r="A32" s="994" t="s">
        <v>482</v>
      </c>
      <c r="B32" s="960">
        <f>ROUND(tbl_joonised_aruandesse!B32/100000,1)*100</f>
        <v>370</v>
      </c>
      <c r="C32" s="960">
        <f>ROUND(tbl_joonised_aruandesse!C32/100000,1)*100</f>
        <v>2039.9999999999998</v>
      </c>
      <c r="D32" s="960">
        <f>ROUND(tbl_joonised_aruandesse!D32/100000,1)*100</f>
        <v>3720.0000000000005</v>
      </c>
      <c r="E32" s="960">
        <f>ROUND(tbl_joonised_aruandesse!E32/100000,1)*100</f>
        <v>-1670</v>
      </c>
      <c r="F32" s="960">
        <f>ROUND(tbl_joonised_aruandesse!F32/100000,1)*100</f>
        <v>-3350</v>
      </c>
    </row>
    <row r="33" spans="1:6" ht="13.5" thickBot="1">
      <c r="A33" s="994" t="s">
        <v>423</v>
      </c>
      <c r="B33" s="960">
        <f>ROUND(tbl_joonised_aruandesse!B33/100000,1)*100</f>
        <v>10550</v>
      </c>
      <c r="C33" s="960">
        <f>ROUND(tbl_joonised_aruandesse!C33/100000,1)*100</f>
        <v>10500</v>
      </c>
      <c r="D33" s="960">
        <f>ROUND(tbl_joonised_aruandesse!D33/100000,1)*100</f>
        <v>10300</v>
      </c>
      <c r="E33" s="960">
        <f>ROUND(tbl_joonised_aruandesse!E33/100000,1)*100</f>
        <v>50</v>
      </c>
      <c r="F33" s="960">
        <f>ROUND(tbl_joonised_aruandesse!F33/100000,1)*100</f>
        <v>250</v>
      </c>
    </row>
    <row r="34" spans="1:6" ht="13.5" thickBot="1">
      <c r="A34" s="994" t="s">
        <v>424</v>
      </c>
      <c r="B34" s="960">
        <f>ROUND(tbl_joonised_aruandesse!B34/100000,1)*100</f>
        <v>5060</v>
      </c>
      <c r="C34" s="960">
        <f>ROUND(tbl_joonised_aruandesse!C34/100000,1)*100</f>
        <v>5030</v>
      </c>
      <c r="D34" s="960">
        <f>ROUND(tbl_joonised_aruandesse!D34/100000,1)*100</f>
        <v>4510</v>
      </c>
      <c r="E34" s="960">
        <f>ROUND(tbl_joonised_aruandesse!E34/100000,1)*100</f>
        <v>30</v>
      </c>
      <c r="F34" s="960">
        <f>ROUND(tbl_joonised_aruandesse!F34/100000,1)*100</f>
        <v>560</v>
      </c>
    </row>
    <row r="35" spans="1:6" ht="13.5" thickBot="1">
      <c r="A35" s="911" t="s">
        <v>425</v>
      </c>
      <c r="B35" s="960">
        <f>ROUND(tbl_joonised_aruandesse!B35/100000,1)*100</f>
        <v>1190</v>
      </c>
      <c r="C35" s="960">
        <f>ROUND(tbl_joonised_aruandesse!C35/100000,1)*100</f>
        <v>-440.00000000000006</v>
      </c>
      <c r="D35" s="960">
        <f>ROUND(tbl_joonised_aruandesse!D35/100000,1)*100</f>
        <v>-1190</v>
      </c>
      <c r="E35" s="960">
        <f>ROUND(tbl_joonised_aruandesse!E35/100000,1)*100</f>
        <v>1630</v>
      </c>
      <c r="F35" s="960">
        <f>ROUND(tbl_joonised_aruandesse!F35/100000,1)*100</f>
        <v>2380</v>
      </c>
    </row>
    <row r="36" spans="1:6" ht="13.5" thickBot="1">
      <c r="A36" s="1095" t="s">
        <v>514</v>
      </c>
      <c r="B36" s="960">
        <f>ROUND(tbl_joonised_aruandesse!B36/100000,1)*100</f>
        <v>15610</v>
      </c>
      <c r="C36" s="960">
        <f>ROUND(tbl_joonised_aruandesse!C36/100000,1)*100</f>
        <v>15530.000000000002</v>
      </c>
      <c r="D36" s="960">
        <f>ROUND(tbl_joonised_aruandesse!D36/100000,1)*100</f>
        <v>14800</v>
      </c>
      <c r="E36" s="960">
        <f>ROUND(tbl_joonised_aruandesse!E36/100000,1)*100</f>
        <v>90</v>
      </c>
      <c r="F36" s="960">
        <f>ROUND(tbl_joonised_aruandesse!F36/100000,1)*100</f>
        <v>810</v>
      </c>
    </row>
    <row r="39" spans="1:6">
      <c r="A39" s="933" t="s">
        <v>432</v>
      </c>
      <c r="B39" s="934"/>
      <c r="C39" s="934"/>
      <c r="D39" s="934" t="s">
        <v>438</v>
      </c>
      <c r="E39" s="934"/>
      <c r="F39" s="934"/>
    </row>
    <row r="40" spans="1:6" ht="15">
      <c r="A40" s="979"/>
      <c r="B40" s="980" t="s">
        <v>451</v>
      </c>
      <c r="C40" s="980" t="s">
        <v>412</v>
      </c>
      <c r="D40" s="980" t="s">
        <v>413</v>
      </c>
      <c r="E40" s="980" t="s">
        <v>166</v>
      </c>
      <c r="F40" s="978" t="s">
        <v>433</v>
      </c>
    </row>
    <row r="41" spans="1:6" ht="25.5">
      <c r="A41" s="981" t="s">
        <v>470</v>
      </c>
      <c r="B41" s="984">
        <f>ROUND(tbl_joonised_aruandesse!B41/1000,0)*1000</f>
        <v>13000</v>
      </c>
      <c r="C41" s="985">
        <f>tbl_joonised_aruandesse!C41</f>
        <v>0.42562303312257721</v>
      </c>
      <c r="D41" s="985">
        <f>tbl_joonised_aruandesse!D41</f>
        <v>0.35365717879634406</v>
      </c>
      <c r="E41" s="985">
        <f>tbl_joonised_aruandesse!E41</f>
        <v>0.20075226146724656</v>
      </c>
      <c r="F41" t="s">
        <v>441</v>
      </c>
    </row>
    <row r="42" spans="1:6" ht="25.5">
      <c r="A42" s="981" t="s">
        <v>428</v>
      </c>
      <c r="B42" s="986">
        <f>tbl_joonised_aruandesse!B42</f>
        <v>0.19276242637883403</v>
      </c>
      <c r="C42" s="986">
        <f>tbl_joonised_aruandesse!C42</f>
        <v>0.15166835187057634</v>
      </c>
      <c r="D42" s="986">
        <f>tbl_joonised_aruandesse!D42</f>
        <v>0.16186140617096612</v>
      </c>
      <c r="E42" s="986">
        <f>tbl_joonised_aruandesse!E42</f>
        <v>0.23469387755102042</v>
      </c>
      <c r="F42" t="s">
        <v>450</v>
      </c>
    </row>
    <row r="43" spans="1:6" ht="25.5">
      <c r="A43" s="981" t="s">
        <v>469</v>
      </c>
      <c r="B43" s="986"/>
      <c r="C43" s="987">
        <f>tbl_joonised_aruandesse!C43</f>
        <v>-150</v>
      </c>
      <c r="D43" s="987">
        <f>tbl_joonised_aruandesse!D43</f>
        <v>51</v>
      </c>
      <c r="E43" s="987">
        <f>tbl_joonised_aruandesse!E43</f>
        <v>151.95311575108363</v>
      </c>
    </row>
    <row r="44" spans="1:6">
      <c r="A44" s="981" t="s">
        <v>443</v>
      </c>
      <c r="B44" s="987">
        <f>tbl_joonised_aruandesse!B44</f>
        <v>423.20877733805878</v>
      </c>
      <c r="C44" s="985">
        <f>tbl_joonised_aruandesse!C44</f>
        <v>0.33493313165345762</v>
      </c>
      <c r="D44" s="985">
        <f>tbl_joonised_aruandesse!D44</f>
        <v>0.31720951271946363</v>
      </c>
      <c r="E44" s="985">
        <f>tbl_joonised_aruandesse!E44</f>
        <v>4.1939556150871082E-2</v>
      </c>
      <c r="F44" t="s">
        <v>444</v>
      </c>
    </row>
    <row r="45" spans="1:6">
      <c r="A45" s="981" t="s">
        <v>440</v>
      </c>
      <c r="B45" s="984">
        <f>ROUND(tbl_joonised_aruandesse!B45/1000,0)*1000</f>
        <v>565000</v>
      </c>
      <c r="C45" s="985">
        <f>tbl_joonised_aruandesse!C45</f>
        <v>0.27964601769911512</v>
      </c>
      <c r="D45" s="985">
        <f>tbl_joonised_aruandesse!D45</f>
        <v>0.26194690265486731</v>
      </c>
      <c r="E45" s="988">
        <f>tbl_joonised_aruandesse!E45</f>
        <v>-1.7699115044247371E-3</v>
      </c>
      <c r="F45" t="s">
        <v>444</v>
      </c>
    </row>
    <row r="46" spans="1:6">
      <c r="A46" s="981" t="s">
        <v>495</v>
      </c>
      <c r="B46" s="989"/>
      <c r="C46" s="989"/>
      <c r="D46" s="989"/>
      <c r="E46" s="989"/>
    </row>
    <row r="47" spans="1:6">
      <c r="A47" s="982" t="s">
        <v>496</v>
      </c>
      <c r="B47" s="989">
        <f>tbl_joonised_aruandesse!B47</f>
        <v>2.77</v>
      </c>
      <c r="C47" s="985">
        <f>tbl_joonised_aruandesse!C47</f>
        <v>-5.8833749823755999E-2</v>
      </c>
      <c r="D47" s="985">
        <f>tbl_joonised_aruandesse!D47</f>
        <v>-8.4279847881186254E-2</v>
      </c>
      <c r="E47" s="985">
        <f>tbl_joonised_aruandesse!E47</f>
        <v>-0.17013658772714801</v>
      </c>
      <c r="F47" t="s">
        <v>459</v>
      </c>
    </row>
    <row r="48" spans="1:6">
      <c r="A48" s="982" t="s">
        <v>497</v>
      </c>
      <c r="B48" s="989">
        <f>tbl_joonised_aruandesse!B48</f>
        <v>0.57650000000000001</v>
      </c>
      <c r="C48" s="985">
        <f>tbl_joonised_aruandesse!C48</f>
        <v>-7.0738652789823719E-2</v>
      </c>
      <c r="D48" s="985">
        <f>tbl_joonised_aruandesse!D48</f>
        <v>-0.18177276669557674</v>
      </c>
      <c r="E48" s="985">
        <f>tbl_joonised_aruandesse!E48</f>
        <v>-0.23628794449262802</v>
      </c>
      <c r="F48" t="s">
        <v>460</v>
      </c>
    </row>
    <row r="49" spans="1:6">
      <c r="A49" s="982" t="s">
        <v>498</v>
      </c>
      <c r="B49" s="989">
        <f>tbl_joonised_aruandesse!B49</f>
        <v>0.86569339523493338</v>
      </c>
      <c r="C49" s="985">
        <f>tbl_joonised_aruandesse!C49</f>
        <v>-0.29244493764859669</v>
      </c>
      <c r="D49" s="985">
        <f>tbl_joonised_aruandesse!D49</f>
        <v>-0.37688513718210603</v>
      </c>
      <c r="E49" s="985">
        <f>tbl_joonised_aruandesse!E49</f>
        <v>-0.49300200402401062</v>
      </c>
      <c r="F49" t="s">
        <v>460</v>
      </c>
    </row>
    <row r="50" spans="1:6">
      <c r="A50" s="983" t="s">
        <v>499</v>
      </c>
      <c r="B50" s="989">
        <f>tbl_joonised_aruandesse!B52</f>
        <v>2.4217391304347826</v>
      </c>
      <c r="C50" s="985">
        <f>tbl_joonised_aruandesse!C52</f>
        <v>-3.6763554757630046E-2</v>
      </c>
      <c r="D50" s="985">
        <f>tbl_joonised_aruandesse!D52</f>
        <v>-0.1665459691202873</v>
      </c>
      <c r="E50" s="985">
        <f>tbl_joonised_aruandesse!E52</f>
        <v>-0.23935536373429078</v>
      </c>
      <c r="F50" t="s">
        <v>461</v>
      </c>
    </row>
    <row r="51" spans="1:6">
      <c r="A51" s="983" t="s">
        <v>500</v>
      </c>
      <c r="B51" s="989">
        <f>tbl_joonised_aruandesse!B53</f>
        <v>0.21377777777777779</v>
      </c>
      <c r="C51" s="985">
        <f>tbl_joonised_aruandesse!C53</f>
        <v>-6.6666666666666541E-2</v>
      </c>
      <c r="D51" s="985">
        <f>tbl_joonised_aruandesse!D53</f>
        <v>-0.12596153846153835</v>
      </c>
      <c r="E51" s="985">
        <f>tbl_joonised_aruandesse!E53</f>
        <v>-0.12596153846153846</v>
      </c>
      <c r="F51" t="s">
        <v>461</v>
      </c>
    </row>
    <row r="52" spans="1:6">
      <c r="A52" s="983" t="s">
        <v>501</v>
      </c>
      <c r="B52" s="989">
        <f>tbl_joonised_aruandesse!B54</f>
        <v>1.1623777746230282</v>
      </c>
      <c r="C52" s="986">
        <f>tbl_joonised_aruandesse!C54</f>
        <v>0.21771027637780582</v>
      </c>
      <c r="D52" s="986">
        <f>tbl_joonised_aruandesse!D54</f>
        <v>-4.1311073971499468E-3</v>
      </c>
      <c r="E52" s="986">
        <f>tbl_joonised_aruandesse!E54</f>
        <v>-0.26964953173221018</v>
      </c>
      <c r="F52" t="s">
        <v>461</v>
      </c>
    </row>
    <row r="53" spans="1:6">
      <c r="A53" s="981" t="s">
        <v>505</v>
      </c>
      <c r="B53" s="995">
        <v>11600</v>
      </c>
      <c r="C53" s="985">
        <f>tbl_joonised_aruandesse!C50</f>
        <v>0.34552867660798392</v>
      </c>
      <c r="D53" s="985">
        <f>tbl_joonised_aruandesse!D50</f>
        <v>0.27825224277758465</v>
      </c>
      <c r="E53" s="985">
        <f>tbl_joonised_aruandesse!E50</f>
        <v>0.19554263528658566</v>
      </c>
    </row>
    <row r="54" spans="1:6">
      <c r="A54" s="981" t="s">
        <v>494</v>
      </c>
      <c r="B54" s="986">
        <f>tbl_joonised_aruandesse!B51</f>
        <v>0.57037291630864406</v>
      </c>
      <c r="C54" s="986">
        <f>tbl_joonised_aruandesse!C51</f>
        <v>0.43</v>
      </c>
      <c r="D54" s="986">
        <f>tbl_joonised_aruandesse!D51</f>
        <v>0.46999999999999992</v>
      </c>
      <c r="E54" s="986">
        <f>tbl_joonised_aruandesse!E51</f>
        <v>0.6</v>
      </c>
    </row>
    <row r="55" spans="1:6" ht="25.5">
      <c r="A55" s="981" t="s">
        <v>431</v>
      </c>
      <c r="B55" s="986">
        <f>tbl_joonised_aruandesse!B55</f>
        <v>0</v>
      </c>
      <c r="C55" s="986">
        <f>tbl_joonised_aruandesse!C55</f>
        <v>8.898380397466836E-2</v>
      </c>
      <c r="D55" s="986">
        <f>tbl_joonised_aruandesse!D55</f>
        <v>0.1549397652409544</v>
      </c>
      <c r="E55" s="986">
        <f>tbl_joonised_aruandesse!E55</f>
        <v>0.2611373218384524</v>
      </c>
    </row>
    <row r="56" spans="1:6">
      <c r="A56" s="976"/>
      <c r="B56" s="990"/>
      <c r="C56" s="990"/>
      <c r="D56" s="990"/>
      <c r="E56" s="990"/>
    </row>
    <row r="57" spans="1:6">
      <c r="A57" s="977"/>
      <c r="B57" s="58"/>
      <c r="C57" s="58"/>
      <c r="D57" s="58"/>
      <c r="E57" s="58"/>
    </row>
  </sheetData>
  <mergeCells count="1">
    <mergeCell ref="L11:M12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6"/>
  <sheetViews>
    <sheetView topLeftCell="A28" workbookViewId="0">
      <selection activeCell="C27" sqref="C27"/>
    </sheetView>
  </sheetViews>
  <sheetFormatPr defaultColWidth="8.85546875" defaultRowHeight="12.75"/>
  <cols>
    <col min="1" max="1" width="28.7109375" customWidth="1"/>
    <col min="2" max="2" width="11.7109375" customWidth="1"/>
    <col min="3" max="4" width="11.28515625" customWidth="1"/>
    <col min="5" max="5" width="11.85546875" customWidth="1"/>
    <col min="6" max="6" width="10.85546875" customWidth="1"/>
    <col min="7" max="7" width="9" bestFit="1" customWidth="1"/>
  </cols>
  <sheetData>
    <row r="2" spans="1:6" ht="13.5" thickBot="1"/>
    <row r="3" spans="1:6" ht="26.25" thickBot="1">
      <c r="A3" s="904" t="s">
        <v>406</v>
      </c>
      <c r="B3" s="910" t="s">
        <v>474</v>
      </c>
      <c r="C3" s="910" t="s">
        <v>475</v>
      </c>
      <c r="D3" s="910" t="s">
        <v>476</v>
      </c>
      <c r="E3">
        <v>2012</v>
      </c>
    </row>
    <row r="4" spans="1:6" ht="48" customHeight="1" thickBot="1">
      <c r="A4" s="909" t="s">
        <v>407</v>
      </c>
      <c r="B4" s="960">
        <f>TransportBAU!T13</f>
        <v>47865.350263824876</v>
      </c>
      <c r="C4" s="960">
        <f>VS_TAK!T13</f>
        <v>40097.103302448137</v>
      </c>
      <c r="D4" s="960">
        <f>TransportEE!T13</f>
        <v>29253.359174946665</v>
      </c>
      <c r="E4" s="54">
        <f>TransportBAU!D13</f>
        <v>29886.140291495798</v>
      </c>
    </row>
    <row r="5" spans="1:6" ht="36" customHeight="1" thickBot="1">
      <c r="A5" s="909" t="s">
        <v>414</v>
      </c>
      <c r="B5" s="961">
        <f>(B4*100/$E$4/100)-1</f>
        <v>0.60159022868018575</v>
      </c>
      <c r="C5" s="961">
        <f>(C4*100/$E$4/100)-1</f>
        <v>0.34166215213337203</v>
      </c>
      <c r="D5" s="962">
        <f>(D4*100/$E$4/100)-1</f>
        <v>-2.1173062509152296E-2</v>
      </c>
    </row>
    <row r="6" spans="1:6" ht="15" thickBot="1">
      <c r="A6" s="909" t="s">
        <v>409</v>
      </c>
      <c r="B6" s="960">
        <f>TransportBAU!T14</f>
        <v>3087233.270393461</v>
      </c>
      <c r="C6" s="960">
        <f>VS_TAK!T14</f>
        <v>2359289.5597237912</v>
      </c>
      <c r="D6" s="960">
        <f>TransportEE!T14</f>
        <v>1433630.3115986825</v>
      </c>
      <c r="E6" s="54">
        <f>TransportBAU!D14</f>
        <v>2248000</v>
      </c>
    </row>
    <row r="7" spans="1:6" ht="13.5" thickBot="1">
      <c r="A7" s="963" t="s">
        <v>408</v>
      </c>
      <c r="B7" s="908">
        <f>(B6*100/$E$6/100)-1</f>
        <v>0.37332440853801652</v>
      </c>
      <c r="C7" s="908">
        <f>(C6*100/$E$6/100)-1</f>
        <v>4.95060319056011E-2</v>
      </c>
      <c r="D7" s="908">
        <f>(D6*100/$E$6/100)-1</f>
        <v>-0.3622640962639313</v>
      </c>
    </row>
    <row r="8" spans="1:6" ht="28.5" customHeight="1" thickBot="1">
      <c r="A8" s="909" t="s">
        <v>410</v>
      </c>
      <c r="B8" s="964">
        <f>B4-B10</f>
        <v>43606.109318769843</v>
      </c>
      <c r="C8" s="964">
        <f>C4-C10</f>
        <v>33884.467529924528</v>
      </c>
      <c r="D8" s="964">
        <f>D4-D10</f>
        <v>21614.215305222773</v>
      </c>
      <c r="E8" s="54">
        <f>TransportBAU!D13</f>
        <v>29886.140291495798</v>
      </c>
    </row>
    <row r="9" spans="1:6" ht="16.5" customHeight="1" thickBot="1">
      <c r="A9" s="963" t="s">
        <v>408</v>
      </c>
      <c r="B9" s="961">
        <f>(B8*100/$E$8/100)-1</f>
        <v>0.45907463772356416</v>
      </c>
      <c r="C9" s="961">
        <f>(C8*100/$E$8/100)-1</f>
        <v>0.13378533324915387</v>
      </c>
      <c r="D9" s="908">
        <f>(D8*100/$E$8/100)-1</f>
        <v>-0.27678130750884644</v>
      </c>
    </row>
    <row r="10" spans="1:6" ht="27" customHeight="1" thickBot="1">
      <c r="A10" s="909" t="s">
        <v>411</v>
      </c>
      <c r="B10" s="960">
        <f>SUM(TransportBAU!T10:T12)</f>
        <v>4259.2409450550331</v>
      </c>
      <c r="C10" s="960">
        <f>SUM(VS_TAK!T10:T12)</f>
        <v>6212.6357725236121</v>
      </c>
      <c r="D10" s="960">
        <f>SUM(TransportEE!T10:T12)</f>
        <v>7639.1438697238909</v>
      </c>
    </row>
    <row r="11" spans="1:6" ht="26.25" thickBot="1">
      <c r="A11" s="965" t="s">
        <v>492</v>
      </c>
      <c r="B11" s="908">
        <f>B10/B4</f>
        <v>8.898380397466836E-2</v>
      </c>
      <c r="C11" s="908">
        <f>C10/C4</f>
        <v>0.1549397652409544</v>
      </c>
      <c r="D11" s="908">
        <f>D10/D4</f>
        <v>0.2611373218384524</v>
      </c>
    </row>
    <row r="13" spans="1:6" s="872" customFormat="1" ht="13.5" thickBot="1">
      <c r="E13" s="958" t="s">
        <v>467</v>
      </c>
      <c r="F13" s="912"/>
    </row>
    <row r="14" spans="1:6" ht="26.25" thickBot="1">
      <c r="A14" s="910" t="s">
        <v>486</v>
      </c>
      <c r="B14" s="910" t="s">
        <v>474</v>
      </c>
      <c r="C14" s="910" t="s">
        <v>475</v>
      </c>
      <c r="D14" s="910" t="s">
        <v>542</v>
      </c>
      <c r="E14" s="910" t="s">
        <v>472</v>
      </c>
      <c r="F14" s="910" t="s">
        <v>473</v>
      </c>
    </row>
    <row r="15" spans="1:6" s="1" customFormat="1" ht="13.5" thickBot="1">
      <c r="A15" s="973" t="s">
        <v>490</v>
      </c>
      <c r="B15" s="974">
        <f>SUM(B16:B21)</f>
        <v>31438439.026806142</v>
      </c>
      <c r="C15" s="974">
        <f>SUM(C16:C21)</f>
        <v>30569286.638486557</v>
      </c>
      <c r="D15" s="974">
        <f>SUM(D16:D21)</f>
        <v>29427798.41738956</v>
      </c>
      <c r="E15" s="974">
        <f>$B$15-C15</f>
        <v>869152.38831958547</v>
      </c>
      <c r="F15" s="974">
        <f>$B$15-D15</f>
        <v>2010640.6094165817</v>
      </c>
    </row>
    <row r="16" spans="1:6" s="959" customFormat="1" ht="13.5" thickBot="1">
      <c r="A16" s="967" t="s">
        <v>419</v>
      </c>
      <c r="B16" s="968">
        <f>SUM(TransportBAU!E33:T33,TransportBAU!E37:T37)</f>
        <v>1837463.4049856672</v>
      </c>
      <c r="C16" s="968">
        <f>SUM(VS_TAK!E33:T33,VS_TAK!E37:T37)</f>
        <v>1712400.3692386588</v>
      </c>
      <c r="D16" s="968">
        <f>SUM(TransportEE!E33:T33,TransportEE!E37:T37)</f>
        <v>1520129.2607703682</v>
      </c>
      <c r="E16" s="968">
        <f>$B$16-C16</f>
        <v>125063.0357470084</v>
      </c>
      <c r="F16" s="968">
        <f>$B$16-D16</f>
        <v>317334.14421529905</v>
      </c>
    </row>
    <row r="17" spans="1:6" s="959" customFormat="1" ht="13.5" thickBot="1">
      <c r="A17" s="967" t="s">
        <v>420</v>
      </c>
      <c r="B17" s="968">
        <f>SUM(TransportBAU!E46:T46,TransportBAU!E49:T49)</f>
        <v>4113959.8990890021</v>
      </c>
      <c r="C17" s="968">
        <f>SUM(VS_TAK!E46:T46,VS_TAK!E49:T49)</f>
        <v>4062025.1305092503</v>
      </c>
      <c r="D17" s="968">
        <f>SUM(TransportEE!E46:T46,TransportEE!E49:T49)</f>
        <v>4128446.1845744173</v>
      </c>
      <c r="E17" s="968">
        <f>$B$17-C17</f>
        <v>51934.768579751719</v>
      </c>
      <c r="F17" s="968">
        <f>$B$17-D17</f>
        <v>-14486.285485415254</v>
      </c>
    </row>
    <row r="18" spans="1:6" s="959" customFormat="1" ht="13.5" thickBot="1">
      <c r="A18" s="967" t="s">
        <v>468</v>
      </c>
      <c r="B18" s="968">
        <f>SUM(TransportBAU!E57:T57)</f>
        <v>1404407.2802160913</v>
      </c>
      <c r="C18" s="968">
        <f>SUM(VS_TAK!E57:T57)</f>
        <v>1470566.4689838232</v>
      </c>
      <c r="D18" s="968">
        <f>SUM(TransportEE!E57:T57)</f>
        <v>1565905.2334601483</v>
      </c>
      <c r="E18" s="968">
        <f>$B$18-C18</f>
        <v>-66159.188767731888</v>
      </c>
      <c r="F18" s="968">
        <f>$B$18-D18</f>
        <v>-161497.95324405702</v>
      </c>
    </row>
    <row r="19" spans="1:6" s="959" customFormat="1" ht="13.5" thickBot="1">
      <c r="A19" s="967" t="s">
        <v>421</v>
      </c>
      <c r="B19" s="968">
        <f>SUM(TransportBAU!E24:T27)</f>
        <v>23715315.942515381</v>
      </c>
      <c r="C19" s="968">
        <f>SUM(VS_TAK!E24:T27)</f>
        <v>20743495.720593493</v>
      </c>
      <c r="D19" s="968">
        <f>SUM(TransportEE!E24:T27)</f>
        <v>17490021.945321981</v>
      </c>
      <c r="E19" s="968">
        <f>$B$19-C19</f>
        <v>2971820.2219218872</v>
      </c>
      <c r="F19" s="968">
        <f>$B$19-D19</f>
        <v>6225293.9971933998</v>
      </c>
    </row>
    <row r="20" spans="1:6" s="959" customFormat="1" ht="13.5" thickBot="1">
      <c r="A20" s="967" t="s">
        <v>489</v>
      </c>
      <c r="B20" s="968">
        <f>B32</f>
        <v>367292.5</v>
      </c>
      <c r="C20" s="968">
        <f>C32</f>
        <v>2041600</v>
      </c>
      <c r="D20" s="968">
        <f>D32</f>
        <v>3715150</v>
      </c>
      <c r="E20" s="968">
        <f>E32</f>
        <v>-1674307.5</v>
      </c>
      <c r="F20" s="968">
        <f>F32</f>
        <v>-3347857.5</v>
      </c>
    </row>
    <row r="21" spans="1:6" ht="13.5" thickBot="1">
      <c r="A21" s="969" t="s">
        <v>488</v>
      </c>
      <c r="B21" s="966">
        <v>0</v>
      </c>
      <c r="C21" s="960">
        <f>SUM(VS_TAK!E62:T62)</f>
        <v>539198.94916132709</v>
      </c>
      <c r="D21" s="960">
        <f>SUM(TransportEE!E62:T62)</f>
        <v>1008145.7932626451</v>
      </c>
      <c r="E21" s="960">
        <f t="shared" ref="E21:F25" si="0">$B21-C21</f>
        <v>-539198.94916132709</v>
      </c>
      <c r="F21" s="960">
        <f t="shared" si="0"/>
        <v>-1008145.7932626451</v>
      </c>
    </row>
    <row r="22" spans="1:6" s="1" customFormat="1" ht="13.5" thickBot="1">
      <c r="A22" s="973" t="s">
        <v>483</v>
      </c>
      <c r="B22" s="974">
        <f>SUM(TransportBAU!E72:T72)</f>
        <v>2803069.7415702743</v>
      </c>
      <c r="C22" s="974">
        <f>SUM(C23+C24)</f>
        <v>-66826.349858675094</v>
      </c>
      <c r="D22" s="974">
        <f>SUM(D23+D24)</f>
        <v>-848657.10041010706</v>
      </c>
      <c r="E22" s="974">
        <f t="shared" si="0"/>
        <v>2869896.0914289495</v>
      </c>
      <c r="F22" s="974">
        <f t="shared" si="0"/>
        <v>3651726.8419803814</v>
      </c>
    </row>
    <row r="23" spans="1:6" ht="13.5" thickBot="1">
      <c r="A23" s="967" t="s">
        <v>403</v>
      </c>
      <c r="B23" s="960">
        <f>SUM(TransportBAU!E70:T70)</f>
        <v>1610862.1693953609</v>
      </c>
      <c r="C23" s="960">
        <f>SUM(VS_TAK!E71:T71)</f>
        <v>372733.65014132491</v>
      </c>
      <c r="D23" s="960">
        <f>SUM(TransportEE!E72:T72)</f>
        <v>343550.47176480648</v>
      </c>
      <c r="E23" s="960">
        <f t="shared" si="0"/>
        <v>1238128.519254036</v>
      </c>
      <c r="F23" s="960">
        <f t="shared" si="0"/>
        <v>1267311.6976305544</v>
      </c>
    </row>
    <row r="24" spans="1:6" ht="13.5" thickBot="1">
      <c r="A24" s="967" t="s">
        <v>484</v>
      </c>
      <c r="B24" s="960">
        <f>SUM(TransportBAU!E71:T71)</f>
        <v>1192207.5721749135</v>
      </c>
      <c r="C24" s="960">
        <f>SUM(VS_TAK!E68:T68)*-1</f>
        <v>-439560</v>
      </c>
      <c r="D24" s="960">
        <f>SUM(TransportEE!E68:T68)*-1</f>
        <v>-1192207.5721749135</v>
      </c>
      <c r="E24" s="960">
        <f t="shared" si="0"/>
        <v>1631767.5721749135</v>
      </c>
      <c r="F24" s="960">
        <f t="shared" si="0"/>
        <v>2384415.144349827</v>
      </c>
    </row>
    <row r="25" spans="1:6" ht="13.5" thickBot="1">
      <c r="A25" s="963" t="s">
        <v>418</v>
      </c>
      <c r="B25" s="960">
        <f>B15+B22</f>
        <v>34241508.768376417</v>
      </c>
      <c r="C25" s="960">
        <f>C15+C22</f>
        <v>30502460.288627882</v>
      </c>
      <c r="D25" s="960">
        <f>D15+D22</f>
        <v>28579141.316979453</v>
      </c>
      <c r="E25" s="960">
        <f t="shared" si="0"/>
        <v>3739048.4797485359</v>
      </c>
      <c r="F25" s="960">
        <f t="shared" si="0"/>
        <v>5662367.4513969645</v>
      </c>
    </row>
    <row r="26" spans="1:6" ht="26.25" thickBot="1">
      <c r="A26" s="963" t="s">
        <v>471</v>
      </c>
      <c r="B26" s="960"/>
      <c r="C26" s="960">
        <f>-(SUM(VS_TAK!E13:T13)-SUM(TransportBAU!E13:T13))/16</f>
        <v>5569.2884902051446</v>
      </c>
      <c r="D26" s="960">
        <f>-(SUM(TransportEE!E13:T13)-SUM(TransportBAU!E13:T13))/16</f>
        <v>11274.596509446928</v>
      </c>
      <c r="E26" s="960"/>
      <c r="F26" s="960"/>
    </row>
    <row r="27" spans="1:6" ht="26.25" thickBot="1">
      <c r="A27" s="963" t="s">
        <v>491</v>
      </c>
      <c r="B27" s="960"/>
      <c r="C27" s="960">
        <f>(C25-B25)/16</f>
        <v>-233690.52998428349</v>
      </c>
      <c r="D27" s="960">
        <f>(D25-B25)/16</f>
        <v>-353897.96571231028</v>
      </c>
      <c r="E27" s="960"/>
      <c r="F27" s="960"/>
    </row>
    <row r="28" spans="1:6" ht="13.5" thickBot="1">
      <c r="A28" s="963" t="s">
        <v>415</v>
      </c>
      <c r="B28" s="966"/>
      <c r="C28" s="970">
        <f>C27/C26</f>
        <v>-41.960571874716351</v>
      </c>
      <c r="D28" s="970">
        <f>D27/D26</f>
        <v>-31.388969478045706</v>
      </c>
      <c r="E28" s="970"/>
      <c r="F28" s="970"/>
    </row>
    <row r="29" spans="1:6" ht="13.5" thickBot="1">
      <c r="A29" s="972" t="s">
        <v>487</v>
      </c>
    </row>
    <row r="30" spans="1:6" ht="26.25" thickBot="1">
      <c r="A30" s="910" t="s">
        <v>481</v>
      </c>
      <c r="B30" s="905" t="s">
        <v>474</v>
      </c>
      <c r="C30" s="905" t="s">
        <v>475</v>
      </c>
      <c r="D30" s="905" t="s">
        <v>476</v>
      </c>
      <c r="E30" s="905" t="s">
        <v>472</v>
      </c>
      <c r="F30" s="905" t="s">
        <v>473</v>
      </c>
    </row>
    <row r="31" spans="1:6" ht="13.5" thickBot="1">
      <c r="A31" s="911" t="s">
        <v>422</v>
      </c>
      <c r="B31" s="907">
        <f>SUM(TransportBAU!E25:T25)</f>
        <v>7507750.715240106</v>
      </c>
      <c r="C31" s="907">
        <f>SUM(VS_TAK!E25:T25)</f>
        <v>6163851.8733674465</v>
      </c>
      <c r="D31" s="929">
        <f>SUM(TransportEE!E25:T25)</f>
        <v>4933236.3504931619</v>
      </c>
      <c r="E31" s="907">
        <f t="shared" ref="E31:F35" si="1">$B31-C31</f>
        <v>1343898.8418726595</v>
      </c>
      <c r="F31" s="907">
        <f t="shared" si="1"/>
        <v>2574514.364746944</v>
      </c>
    </row>
    <row r="32" spans="1:6" ht="26.25" thickBot="1">
      <c r="A32" s="911" t="s">
        <v>482</v>
      </c>
      <c r="B32" s="907">
        <f>SUM(TransportBAU!E28:T28)</f>
        <v>367292.5</v>
      </c>
      <c r="C32" s="907">
        <f>SUM(VS_TAK!E28:T28)</f>
        <v>2041600</v>
      </c>
      <c r="D32" s="907">
        <f>SUM(TransportEE!E28:T28)</f>
        <v>3715150</v>
      </c>
      <c r="E32" s="907">
        <f t="shared" si="1"/>
        <v>-1674307.5</v>
      </c>
      <c r="F32" s="907">
        <f t="shared" si="1"/>
        <v>-3347857.5</v>
      </c>
    </row>
    <row r="33" spans="1:8" ht="13.5" thickBot="1">
      <c r="A33" s="911" t="s">
        <v>423</v>
      </c>
      <c r="B33" s="907">
        <f>SUM(TransportBAU!E40:T40)</f>
        <v>10547178.073076924</v>
      </c>
      <c r="C33" s="907">
        <f>SUM(VS_TAK!E40:T40)</f>
        <v>10495366.189743593</v>
      </c>
      <c r="D33" s="907">
        <f>SUM(TransportEE!E40:T40)</f>
        <v>10297481.12820513</v>
      </c>
      <c r="E33" s="907">
        <f t="shared" si="1"/>
        <v>51811.883333330974</v>
      </c>
      <c r="F33" s="907">
        <f t="shared" si="1"/>
        <v>249696.94487179443</v>
      </c>
      <c r="G33" s="941"/>
      <c r="H33" s="941"/>
    </row>
    <row r="34" spans="1:8" ht="13.5" thickBot="1">
      <c r="A34" s="906" t="s">
        <v>424</v>
      </c>
      <c r="B34" s="907">
        <f>SUM(TransportBAU!E53:T53)</f>
        <v>5064871.4706666665</v>
      </c>
      <c r="C34" s="907">
        <f>SUM(VS_TAK!E53:T53)</f>
        <v>5030510.8795000007</v>
      </c>
      <c r="D34" s="929">
        <f>SUM(TransportEE!E53:T53)</f>
        <v>4505348.3290666677</v>
      </c>
      <c r="E34" s="907">
        <f t="shared" si="1"/>
        <v>34360.591166665778</v>
      </c>
      <c r="F34" s="907">
        <f t="shared" si="1"/>
        <v>559523.14159999881</v>
      </c>
    </row>
    <row r="35" spans="1:8" ht="13.5" thickBot="1">
      <c r="A35" s="911" t="s">
        <v>425</v>
      </c>
      <c r="B35" s="907">
        <f>D35*-1</f>
        <v>1192207.5721749135</v>
      </c>
      <c r="C35" s="907">
        <f>-SUM(VS_TAK!E68:T68)</f>
        <v>-439560</v>
      </c>
      <c r="D35" s="929">
        <f>-SUM(TransportEE!E68:T68)</f>
        <v>-1192207.5721749135</v>
      </c>
      <c r="E35" s="907">
        <f t="shared" si="1"/>
        <v>1631767.5721749135</v>
      </c>
      <c r="F35" s="907">
        <f t="shared" si="1"/>
        <v>2384415.144349827</v>
      </c>
    </row>
    <row r="36" spans="1:8" ht="13.5" thickBot="1">
      <c r="A36" s="959" t="s">
        <v>514</v>
      </c>
      <c r="B36" s="54">
        <f>SUM(B33:B34)</f>
        <v>15612049.543743592</v>
      </c>
      <c r="C36" s="54">
        <f>SUM(C33:C34)</f>
        <v>15525877.069243595</v>
      </c>
      <c r="D36" s="54">
        <f>SUM(D33:D34)</f>
        <v>14802829.457271798</v>
      </c>
      <c r="E36" s="907">
        <f>$B36-C36</f>
        <v>86172.474499996752</v>
      </c>
      <c r="F36" s="907">
        <f>$B36-D36</f>
        <v>809220.08647179417</v>
      </c>
    </row>
    <row r="39" spans="1:8" s="934" customFormat="1" ht="13.5" thickBot="1">
      <c r="A39" s="933" t="s">
        <v>432</v>
      </c>
      <c r="D39" s="934" t="s">
        <v>438</v>
      </c>
    </row>
    <row r="40" spans="1:8" ht="64.5" thickBot="1">
      <c r="A40" s="932"/>
      <c r="B40" s="945" t="s">
        <v>451</v>
      </c>
      <c r="C40" s="939" t="s">
        <v>412</v>
      </c>
      <c r="D40" s="939" t="s">
        <v>413</v>
      </c>
      <c r="E40" s="939" t="s">
        <v>166</v>
      </c>
      <c r="F40" s="940" t="s">
        <v>433</v>
      </c>
    </row>
    <row r="41" spans="1:8" ht="26.25" thickBot="1">
      <c r="A41" s="935" t="s">
        <v>470</v>
      </c>
      <c r="B41" s="866">
        <f>STREAM!B6</f>
        <v>12527</v>
      </c>
      <c r="C41" s="879">
        <f>STREAM!AC38</f>
        <v>0.42562303312257721</v>
      </c>
      <c r="D41" s="879">
        <f>STREAM!AD38</f>
        <v>0.35365717879634406</v>
      </c>
      <c r="E41" s="879">
        <f>STREAM!AE38</f>
        <v>0.20075226146724656</v>
      </c>
      <c r="F41" t="s">
        <v>441</v>
      </c>
    </row>
    <row r="42" spans="1:8" ht="26.25" thickBot="1">
      <c r="A42" s="935" t="s">
        <v>428</v>
      </c>
      <c r="B42" s="879">
        <f>STREAM!AB34</f>
        <v>0.19276242637883403</v>
      </c>
      <c r="C42" s="879">
        <f>STREAM!AC34</f>
        <v>0.15166835187057634</v>
      </c>
      <c r="D42" s="879">
        <f>STREAM!AD34</f>
        <v>0.16186140617096612</v>
      </c>
      <c r="E42" s="879">
        <f>STREAM!AE34</f>
        <v>0.23469387755102042</v>
      </c>
      <c r="F42" t="s">
        <v>450</v>
      </c>
    </row>
    <row r="43" spans="1:8" ht="45.75" customHeight="1" thickBot="1">
      <c r="A43" s="935" t="s">
        <v>469</v>
      </c>
      <c r="B43" s="879"/>
      <c r="C43" s="866">
        <v>-150</v>
      </c>
      <c r="D43" s="866">
        <f>STREAM!E39</f>
        <v>51</v>
      </c>
      <c r="E43" s="866">
        <f>STREAM!D39</f>
        <v>151.95311575108363</v>
      </c>
    </row>
    <row r="44" spans="1:8" ht="13.5" thickBot="1">
      <c r="A44" s="935" t="s">
        <v>443</v>
      </c>
      <c r="B44" s="866">
        <v>423.20877733805878</v>
      </c>
      <c r="C44" s="879">
        <v>0.33493313165345762</v>
      </c>
      <c r="D44" s="879">
        <v>0.31720951271946363</v>
      </c>
      <c r="E44" s="879">
        <v>4.1939556150871082E-2</v>
      </c>
      <c r="F44" t="s">
        <v>444</v>
      </c>
    </row>
    <row r="45" spans="1:8" ht="13.5" thickBot="1">
      <c r="A45" s="935" t="s">
        <v>440</v>
      </c>
      <c r="B45" s="58">
        <v>565000</v>
      </c>
      <c r="C45" s="879">
        <v>0.27964601769911512</v>
      </c>
      <c r="D45" s="879">
        <v>0.26194690265486731</v>
      </c>
      <c r="E45" s="879">
        <v>-1.7699115044247371E-3</v>
      </c>
      <c r="F45" t="s">
        <v>444</v>
      </c>
    </row>
    <row r="46" spans="1:8" ht="13.5" thickBot="1">
      <c r="A46" s="936" t="s">
        <v>462</v>
      </c>
      <c r="B46" s="952"/>
      <c r="C46" s="952"/>
      <c r="D46" s="952"/>
      <c r="E46" s="952"/>
    </row>
    <row r="47" spans="1:8">
      <c r="A47" s="951" t="s">
        <v>206</v>
      </c>
      <c r="B47">
        <v>2.77</v>
      </c>
      <c r="C47" s="879">
        <v>-5.8833749823755999E-2</v>
      </c>
      <c r="D47" s="879">
        <v>-8.4279847881186254E-2</v>
      </c>
      <c r="E47" s="879">
        <v>-0.17013658772714801</v>
      </c>
      <c r="F47" t="s">
        <v>459</v>
      </c>
    </row>
    <row r="48" spans="1:8">
      <c r="A48" s="951" t="s">
        <v>455</v>
      </c>
      <c r="B48" s="954">
        <v>0.57650000000000001</v>
      </c>
      <c r="C48" s="879">
        <v>-7.0738652789823719E-2</v>
      </c>
      <c r="D48" s="879">
        <v>-0.18177276669557674</v>
      </c>
      <c r="E48" s="879">
        <v>-0.23628794449262802</v>
      </c>
      <c r="F48" t="s">
        <v>460</v>
      </c>
    </row>
    <row r="49" spans="1:6">
      <c r="A49" s="951" t="s">
        <v>456</v>
      </c>
      <c r="B49" s="954">
        <v>0.86569339523493338</v>
      </c>
      <c r="C49" s="949">
        <v>-0.29244493764859669</v>
      </c>
      <c r="D49" s="949">
        <v>-0.37688513718210603</v>
      </c>
      <c r="E49" s="949">
        <v>-0.49300200402401062</v>
      </c>
      <c r="F49" t="s">
        <v>460</v>
      </c>
    </row>
    <row r="50" spans="1:6" ht="13.5" thickBot="1">
      <c r="A50" s="935" t="s">
        <v>429</v>
      </c>
      <c r="B50" s="58"/>
      <c r="C50" s="949">
        <f>STREAM!AC40</f>
        <v>0.34552867660798392</v>
      </c>
      <c r="D50" s="949">
        <f>STREAM!AD40</f>
        <v>0.27825224277758465</v>
      </c>
      <c r="E50" s="949">
        <f>STREAM!AE40</f>
        <v>0.19554263528658566</v>
      </c>
    </row>
    <row r="51" spans="1:6" ht="13.5" thickBot="1">
      <c r="A51" s="935" t="s">
        <v>430</v>
      </c>
      <c r="B51" s="879">
        <f>STREAM!AB42</f>
        <v>0.57037291630864406</v>
      </c>
      <c r="C51" s="879">
        <f>STREAM!AC42</f>
        <v>0.43</v>
      </c>
      <c r="D51" s="879">
        <f>STREAM!AD42</f>
        <v>0.46999999999999992</v>
      </c>
      <c r="E51" s="879">
        <f>STREAM!AE42</f>
        <v>0.6</v>
      </c>
    </row>
    <row r="52" spans="1:6" ht="15.75" customHeight="1">
      <c r="A52" s="951" t="s">
        <v>208</v>
      </c>
      <c r="B52" s="954">
        <v>2.4217391304347826</v>
      </c>
      <c r="C52" s="949">
        <v>-3.6763554757630046E-2</v>
      </c>
      <c r="D52" s="949">
        <v>-0.1665459691202873</v>
      </c>
      <c r="E52" s="949">
        <v>-0.23935536373429078</v>
      </c>
      <c r="F52" t="s">
        <v>461</v>
      </c>
    </row>
    <row r="53" spans="1:6">
      <c r="A53" s="951" t="s">
        <v>457</v>
      </c>
      <c r="B53" s="954">
        <v>0.21377777777777779</v>
      </c>
      <c r="C53" s="879">
        <v>-6.6666666666666541E-2</v>
      </c>
      <c r="D53" s="879">
        <v>-0.12596153846153835</v>
      </c>
      <c r="E53" s="879">
        <v>-0.12596153846153846</v>
      </c>
      <c r="F53" t="s">
        <v>461</v>
      </c>
    </row>
    <row r="54" spans="1:6">
      <c r="A54" s="951" t="s">
        <v>458</v>
      </c>
      <c r="B54" s="954">
        <v>1.1623777746230282</v>
      </c>
      <c r="C54" s="953">
        <v>0.21771027637780582</v>
      </c>
      <c r="D54" s="953">
        <v>-4.1311073971499468E-3</v>
      </c>
      <c r="E54" s="953">
        <v>-0.26964953173221018</v>
      </c>
      <c r="F54" t="s">
        <v>461</v>
      </c>
    </row>
    <row r="55" spans="1:6" ht="26.25" thickBot="1">
      <c r="A55" s="936" t="s">
        <v>431</v>
      </c>
      <c r="B55" s="879">
        <v>0</v>
      </c>
      <c r="C55" s="955">
        <f>B11</f>
        <v>8.898380397466836E-2</v>
      </c>
      <c r="D55" s="955">
        <f>C11</f>
        <v>0.1549397652409544</v>
      </c>
      <c r="E55" s="955">
        <f>D11</f>
        <v>0.2611373218384524</v>
      </c>
    </row>
    <row r="56" spans="1:6" ht="13.5" thickBot="1">
      <c r="A56" s="937"/>
      <c r="B56" s="58"/>
      <c r="C56" s="58"/>
      <c r="D56" s="58"/>
      <c r="E56" s="58"/>
    </row>
    <row r="57" spans="1:6" ht="13.5" thickBot="1">
      <c r="A57" s="938"/>
      <c r="B57" s="58"/>
      <c r="C57" s="58"/>
      <c r="D57" s="58"/>
      <c r="E57" s="58"/>
    </row>
    <row r="58" spans="1:6" ht="12.75" customHeight="1"/>
    <row r="59" spans="1:6" ht="12.75" customHeight="1"/>
    <row r="60" spans="1:6" ht="12.75" customHeight="1"/>
    <row r="61" spans="1:6" ht="12.75" customHeight="1"/>
    <row r="62" spans="1:6" ht="13.5" customHeight="1"/>
    <row r="66" ht="22.5" customHeight="1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7"/>
  <sheetViews>
    <sheetView tabSelected="1" topLeftCell="A21" workbookViewId="0">
      <selection activeCell="V34" sqref="V34"/>
    </sheetView>
  </sheetViews>
  <sheetFormatPr defaultColWidth="11.42578125" defaultRowHeight="12.75"/>
  <cols>
    <col min="1" max="1" width="28.7109375" customWidth="1"/>
    <col min="2" max="2" width="11.7109375" customWidth="1"/>
    <col min="3" max="4" width="11.28515625" customWidth="1"/>
    <col min="5" max="5" width="11.85546875" customWidth="1"/>
    <col min="6" max="6" width="10.85546875" customWidth="1"/>
  </cols>
  <sheetData>
    <row r="2" spans="1:6" ht="13.5" thickBot="1"/>
    <row r="3" spans="1:6" ht="26.25" thickBot="1">
      <c r="A3" s="904" t="s">
        <v>406</v>
      </c>
      <c r="B3" s="910" t="s">
        <v>474</v>
      </c>
      <c r="C3" s="910" t="s">
        <v>475</v>
      </c>
      <c r="D3" s="910" t="s">
        <v>476</v>
      </c>
    </row>
    <row r="4" spans="1:6" ht="13.5" thickBot="1">
      <c r="A4" s="909" t="s">
        <v>407</v>
      </c>
      <c r="B4" s="960">
        <f>ROUND(tbl_joonised_aruandesse!B4/1000,0)*1000</f>
        <v>48000</v>
      </c>
      <c r="C4" s="960">
        <f>ROUND(tbl_joonised_aruandesse!C4/1000,0)*1000</f>
        <v>40000</v>
      </c>
      <c r="D4" s="960">
        <f>ROUND(tbl_joonised_aruandesse!D4/1000,0)*1000</f>
        <v>29000</v>
      </c>
    </row>
    <row r="5" spans="1:6" ht="26.25" thickBot="1">
      <c r="A5" s="909" t="s">
        <v>414</v>
      </c>
      <c r="B5" s="975">
        <f>tbl_joonised_aruandesse!B5</f>
        <v>0.60159022868018575</v>
      </c>
      <c r="C5" s="975">
        <f>tbl_joonised_aruandesse!C5</f>
        <v>0.34166215213337203</v>
      </c>
      <c r="D5" s="975">
        <f>tbl_joonised_aruandesse!D5</f>
        <v>-2.1173062509152296E-2</v>
      </c>
    </row>
    <row r="6" spans="1:6" ht="15" thickBot="1">
      <c r="A6" s="909" t="s">
        <v>409</v>
      </c>
      <c r="B6" s="960">
        <f>ROUND(tbl_joonised_aruandesse!B6/1000,0)*1000</f>
        <v>3087000</v>
      </c>
      <c r="C6" s="960">
        <f>ROUND(tbl_joonised_aruandesse!C6/1000,0)*1000</f>
        <v>2359000</v>
      </c>
      <c r="D6" s="960">
        <f>ROUND(tbl_joonised_aruandesse!D6/1000,0)*1000</f>
        <v>1434000</v>
      </c>
    </row>
    <row r="7" spans="1:6" ht="13.5" thickBot="1">
      <c r="A7" s="963" t="s">
        <v>408</v>
      </c>
      <c r="B7" s="975">
        <f>tbl_joonised_aruandesse!B7</f>
        <v>0.37332440853801652</v>
      </c>
      <c r="C7" s="975">
        <f>tbl_joonised_aruandesse!C7</f>
        <v>4.95060319056011E-2</v>
      </c>
      <c r="D7" s="975">
        <f>tbl_joonised_aruandesse!D7</f>
        <v>-0.3622640962639313</v>
      </c>
    </row>
    <row r="8" spans="1:6" ht="13.5" thickBot="1">
      <c r="A8" s="909" t="s">
        <v>410</v>
      </c>
      <c r="B8" s="960">
        <f>ROUND(tbl_joonised_aruandesse!B8/1000,0)*1000</f>
        <v>44000</v>
      </c>
      <c r="C8" s="960">
        <f>ROUND(tbl_joonised_aruandesse!C8/1000,0)*1000</f>
        <v>34000</v>
      </c>
      <c r="D8" s="960">
        <f>ROUND(tbl_joonised_aruandesse!D8/1000,0)*1000</f>
        <v>22000</v>
      </c>
    </row>
    <row r="9" spans="1:6" ht="13.5" thickBot="1">
      <c r="A9" s="963" t="s">
        <v>408</v>
      </c>
      <c r="B9" s="975">
        <f>tbl_joonised_aruandesse!B9</f>
        <v>0.45907463772356416</v>
      </c>
      <c r="C9" s="975">
        <f>tbl_joonised_aruandesse!C9</f>
        <v>0.13378533324915387</v>
      </c>
      <c r="D9" s="975">
        <f>tbl_joonised_aruandesse!D9</f>
        <v>-0.27678130750884644</v>
      </c>
    </row>
    <row r="10" spans="1:6" ht="26.25" thickBot="1">
      <c r="A10" s="909" t="s">
        <v>411</v>
      </c>
      <c r="B10" s="960">
        <f>ROUND(tbl_joonised_aruandesse!B10/1000,1)*1000</f>
        <v>4300</v>
      </c>
      <c r="C10" s="960">
        <f>ROUND(tbl_joonised_aruandesse!C10/1000,1)*1000</f>
        <v>6200</v>
      </c>
      <c r="D10" s="960">
        <f>ROUND(tbl_joonised_aruandesse!D10/1000,1)*1000</f>
        <v>7600</v>
      </c>
    </row>
    <row r="11" spans="1:6" ht="26.25" thickBot="1">
      <c r="A11" s="965" t="s">
        <v>492</v>
      </c>
      <c r="B11" s="908">
        <f>tbl_joonised_aruandesse!B11</f>
        <v>8.898380397466836E-2</v>
      </c>
      <c r="C11" s="908">
        <f>tbl_joonised_aruandesse!C11</f>
        <v>0.1549397652409544</v>
      </c>
      <c r="D11" s="908">
        <f>tbl_joonised_aruandesse!D11</f>
        <v>0.2611373218384524</v>
      </c>
      <c r="F11">
        <v>15</v>
      </c>
    </row>
    <row r="13" spans="1:6" ht="13.5" thickBot="1">
      <c r="A13" s="872"/>
      <c r="B13" s="872"/>
      <c r="C13" s="872"/>
      <c r="D13" s="872"/>
      <c r="E13" s="958" t="s">
        <v>467</v>
      </c>
      <c r="F13" s="912"/>
    </row>
    <row r="14" spans="1:6" ht="26.25" thickBot="1">
      <c r="A14" s="910" t="s">
        <v>515</v>
      </c>
      <c r="B14" s="910" t="s">
        <v>474</v>
      </c>
      <c r="C14" s="910" t="s">
        <v>475</v>
      </c>
      <c r="D14" s="910" t="s">
        <v>549</v>
      </c>
      <c r="E14" s="910" t="s">
        <v>472</v>
      </c>
      <c r="F14" s="910" t="s">
        <v>473</v>
      </c>
    </row>
    <row r="15" spans="1:6" ht="13.5" thickBot="1">
      <c r="A15" s="991" t="s">
        <v>502</v>
      </c>
      <c r="B15" s="974">
        <f>(ROUND(tbl_joonised_aruandesse!B15/1000000,1)*1000)/16</f>
        <v>1962.5</v>
      </c>
      <c r="C15" s="974">
        <f>(ROUND(tbl_joonised_aruandesse!C15/1000000,1)*1000)/16</f>
        <v>1912.5</v>
      </c>
      <c r="D15" s="974">
        <f>(ROUND(tbl_joonised_aruandesse!D15/1000000,1)*1000)/16</f>
        <v>1837.5</v>
      </c>
      <c r="E15" s="974">
        <f>(ROUND(tbl_joonised_aruandesse!E15/1000000,1)*1000)/16</f>
        <v>56.25</v>
      </c>
      <c r="F15" s="974">
        <f>(ROUND(tbl_joonised_aruandesse!F15/1000000,1)*1000)/16</f>
        <v>125</v>
      </c>
    </row>
    <row r="16" spans="1:6" ht="13.5" thickBot="1">
      <c r="A16" s="992" t="s">
        <v>506</v>
      </c>
      <c r="B16" s="974">
        <f>(ROUND(tbl_joonised_aruandesse!B16/1000000,1)*1000)/16</f>
        <v>112.5</v>
      </c>
      <c r="C16" s="974">
        <f>(ROUND(tbl_joonised_aruandesse!C16/1000000,1)*1000)/16</f>
        <v>106.25</v>
      </c>
      <c r="D16" s="974">
        <f>(ROUND(tbl_joonised_aruandesse!D16/1000000,1)*1000)/16</f>
        <v>93.75</v>
      </c>
      <c r="E16" s="974">
        <f>(ROUND(tbl_joonised_aruandesse!E16/1000000,1)*1000)/16</f>
        <v>6.25</v>
      </c>
      <c r="F16" s="974">
        <f>(ROUND(tbl_joonised_aruandesse!F16/1000000,1)*1000)/16</f>
        <v>18.75</v>
      </c>
    </row>
    <row r="17" spans="1:6" ht="13.5" thickBot="1">
      <c r="A17" s="992" t="s">
        <v>507</v>
      </c>
      <c r="B17" s="974">
        <f>(ROUND(tbl_joonised_aruandesse!B17/1000000,1)*1000)/16</f>
        <v>256.25</v>
      </c>
      <c r="C17" s="974">
        <f>(ROUND(tbl_joonised_aruandesse!C17/1000000,1)*1000)/16</f>
        <v>256.25</v>
      </c>
      <c r="D17" s="974">
        <f>(ROUND(tbl_joonised_aruandesse!D17/1000000,1)*1000)/16</f>
        <v>256.25</v>
      </c>
      <c r="E17" s="974">
        <f>(ROUND(tbl_joonised_aruandesse!E17/1000000,1)*1000)/16</f>
        <v>6.25</v>
      </c>
      <c r="F17" s="974">
        <f>(ROUND(tbl_joonised_aruandesse!F17/1000000,1)*1000)/16</f>
        <v>0</v>
      </c>
    </row>
    <row r="18" spans="1:6" ht="13.5" thickBot="1">
      <c r="A18" s="992" t="s">
        <v>468</v>
      </c>
      <c r="B18" s="974">
        <f>(ROUND(tbl_joonised_aruandesse!B18/1000000,1)*1000)/16</f>
        <v>87.5</v>
      </c>
      <c r="C18" s="974">
        <f>(ROUND(tbl_joonised_aruandesse!C18/1000000,1)*1000)/16</f>
        <v>93.75</v>
      </c>
      <c r="D18" s="974">
        <f>(ROUND(tbl_joonised_aruandesse!D18/1000000,1)*1000)/16</f>
        <v>100</v>
      </c>
      <c r="E18" s="974">
        <f>(ROUND(tbl_joonised_aruandesse!E18/1000000,1)*1000)/16</f>
        <v>-6.25</v>
      </c>
      <c r="F18" s="974">
        <f>(ROUND(tbl_joonised_aruandesse!F18/1000000,1)*1000)/16</f>
        <v>-12.5</v>
      </c>
    </row>
    <row r="19" spans="1:6" ht="13.5" thickBot="1">
      <c r="A19" s="992" t="s">
        <v>508</v>
      </c>
      <c r="B19" s="974">
        <f>(ROUND(tbl_joonised_aruandesse!B19/1000000,1)*1000)/16</f>
        <v>1481.25</v>
      </c>
      <c r="C19" s="974">
        <f>(ROUND(tbl_joonised_aruandesse!C19/1000000,1)*1000)/16</f>
        <v>1293.75</v>
      </c>
      <c r="D19" s="974">
        <f>(ROUND(tbl_joonised_aruandesse!D19/1000000,1)*1000)/16</f>
        <v>1093.75</v>
      </c>
      <c r="E19" s="974">
        <f>(ROUND(tbl_joonised_aruandesse!E19/1000000,1)*1000)/16</f>
        <v>187.5</v>
      </c>
      <c r="F19" s="974">
        <f>(ROUND(tbl_joonised_aruandesse!F19/1000000,1)*1000)/16</f>
        <v>387.5</v>
      </c>
    </row>
    <row r="20" spans="1:6" ht="13.5" thickBot="1">
      <c r="A20" s="992" t="s">
        <v>509</v>
      </c>
      <c r="B20" s="974">
        <f>(ROUND(tbl_joonised_aruandesse!B20/1000000,1)*1000)/16</f>
        <v>25</v>
      </c>
      <c r="C20" s="974">
        <f>(ROUND(tbl_joonised_aruandesse!C20/1000000,1)*1000)/16</f>
        <v>125</v>
      </c>
      <c r="D20" s="974">
        <f>(ROUND(tbl_joonised_aruandesse!D20/1000000,1)*1000)/16</f>
        <v>231.25</v>
      </c>
      <c r="E20" s="974">
        <f>(ROUND(tbl_joonised_aruandesse!E20/1000000,1)*1000)/16</f>
        <v>-106.25</v>
      </c>
      <c r="F20" s="974">
        <f>(ROUND(tbl_joonised_aruandesse!F20/1000000,1)*1000)/16</f>
        <v>-206.25</v>
      </c>
    </row>
    <row r="21" spans="1:6" ht="13.5" thickBot="1">
      <c r="A21" s="911" t="s">
        <v>510</v>
      </c>
      <c r="B21" s="974">
        <f>(ROUND(tbl_joonised_aruandesse!B21/1000000,1)*1000)/16</f>
        <v>0</v>
      </c>
      <c r="C21" s="974">
        <f>(ROUND(tbl_joonised_aruandesse!C21/1000000,1)*1000)/16</f>
        <v>31.25</v>
      </c>
      <c r="D21" s="974">
        <f>(ROUND(tbl_joonised_aruandesse!D21/1000000,1)*1000)/16</f>
        <v>62.5</v>
      </c>
      <c r="E21" s="974">
        <f>(ROUND(tbl_joonised_aruandesse!E21/1000000,1)*1000)/16</f>
        <v>-31.25</v>
      </c>
      <c r="F21" s="974">
        <f>(ROUND(tbl_joonised_aruandesse!F21/1000000,1)*1000)/16</f>
        <v>-62.5</v>
      </c>
    </row>
    <row r="22" spans="1:6" ht="13.5" thickBot="1">
      <c r="A22" s="991" t="s">
        <v>511</v>
      </c>
      <c r="B22" s="974">
        <f>(ROUND(tbl_joonised_aruandesse!B22/1000000,1)*1000)/16</f>
        <v>175</v>
      </c>
      <c r="C22" s="974">
        <f>(ROUND(tbl_joonised_aruandesse!C22/1000000,1)*1000)/16</f>
        <v>-6.25</v>
      </c>
      <c r="D22" s="974">
        <f>(ROUND(tbl_joonised_aruandesse!D22/1000000,1)*1000)/16</f>
        <v>-50</v>
      </c>
      <c r="E22" s="974">
        <f>(ROUND(tbl_joonised_aruandesse!E22/1000000,1)*1000)/16</f>
        <v>181.25</v>
      </c>
      <c r="F22" s="974">
        <f>(ROUND(tbl_joonised_aruandesse!F22/1000000,1)*1000)/16</f>
        <v>231.25</v>
      </c>
    </row>
    <row r="23" spans="1:6" ht="13.5" thickBot="1">
      <c r="A23" s="992" t="s">
        <v>403</v>
      </c>
      <c r="B23" s="974">
        <f>(ROUND(tbl_joonised_aruandesse!B23/1000000,1)*1000)/16</f>
        <v>100</v>
      </c>
      <c r="C23" s="974">
        <f>(ROUND(tbl_joonised_aruandesse!C23/1000000,1)*1000)/16</f>
        <v>25</v>
      </c>
      <c r="D23" s="974">
        <f>(ROUND(tbl_joonised_aruandesse!D23/1000000,1)*1000)/16</f>
        <v>18.75</v>
      </c>
      <c r="E23" s="974">
        <f>(ROUND(tbl_joonised_aruandesse!E23/1000000,1)*1000)/16</f>
        <v>75</v>
      </c>
      <c r="F23" s="974">
        <f>(ROUND(tbl_joonised_aruandesse!F23/1000000,1)*1000)/16</f>
        <v>81.25</v>
      </c>
    </row>
    <row r="24" spans="1:6" ht="13.5" thickBot="1">
      <c r="A24" s="992" t="s">
        <v>503</v>
      </c>
      <c r="B24" s="974">
        <f>(ROUND(tbl_joonised_aruandesse!B24/1000000,1)*1000)/16</f>
        <v>75</v>
      </c>
      <c r="C24" s="974">
        <f>(ROUND(tbl_joonised_aruandesse!C24/1000000,1)*1000)/16</f>
        <v>-25</v>
      </c>
      <c r="D24" s="974">
        <f>(ROUND(tbl_joonised_aruandesse!D24/1000000,1)*1000)/16</f>
        <v>-75</v>
      </c>
      <c r="E24" s="974">
        <f>(ROUND(tbl_joonised_aruandesse!E24/1000000,1)*1000)/16</f>
        <v>100</v>
      </c>
      <c r="F24" s="974">
        <f>(ROUND(tbl_joonised_aruandesse!F24/1000000,1)*1000)/16</f>
        <v>150</v>
      </c>
    </row>
    <row r="25" spans="1:6" ht="13.5" thickBot="1">
      <c r="A25" s="993" t="s">
        <v>418</v>
      </c>
      <c r="B25" s="974">
        <f>(ROUND(tbl_joonised_aruandesse!B25/1000000,1)*1000)/16</f>
        <v>2137.5</v>
      </c>
      <c r="C25" s="974">
        <f>(ROUND(tbl_joonised_aruandesse!C25/1000000,1)*1000)/16</f>
        <v>1906.25</v>
      </c>
      <c r="D25" s="974">
        <f>(ROUND(tbl_joonised_aruandesse!D25/1000000,1)*1000)/16</f>
        <v>1787.5</v>
      </c>
      <c r="E25" s="974">
        <f>(ROUND(tbl_joonised_aruandesse!E25/1000000,1)*1000)/16</f>
        <v>231.25</v>
      </c>
      <c r="F25" s="974">
        <f>(ROUND(tbl_joonised_aruandesse!F25/1000000,1)*1000)/16</f>
        <v>356.25</v>
      </c>
    </row>
    <row r="26" spans="1:6" ht="26.25" thickBot="1">
      <c r="A26" s="993" t="s">
        <v>504</v>
      </c>
      <c r="B26" s="960"/>
      <c r="C26" s="960">
        <f>ROUND(tbl_joonised_aruandesse!C26/1000,1)*1000</f>
        <v>5600</v>
      </c>
      <c r="D26" s="960">
        <f>ROUND(tbl_joonised_aruandesse!D26/1000,1)*1000</f>
        <v>11300</v>
      </c>
      <c r="E26" s="960"/>
      <c r="F26" s="960"/>
    </row>
    <row r="27" spans="1:6" ht="26.25" thickBot="1">
      <c r="A27" s="993" t="s">
        <v>491</v>
      </c>
      <c r="B27" s="960"/>
      <c r="C27" s="960">
        <f>ROUND(tbl_joonised_aruandesse!C27/1000,0)</f>
        <v>-234</v>
      </c>
      <c r="D27" s="960">
        <f>ROUND(tbl_joonised_aruandesse!D27/1000,0)</f>
        <v>-354</v>
      </c>
      <c r="E27" s="960"/>
      <c r="F27" s="960"/>
    </row>
    <row r="28" spans="1:6" ht="13.5" thickBot="1">
      <c r="A28" s="963" t="s">
        <v>493</v>
      </c>
      <c r="B28" s="966"/>
      <c r="C28" s="970">
        <f>tbl_joonised_aruandesse!C28</f>
        <v>-41.960571874716351</v>
      </c>
      <c r="D28" s="970">
        <f>tbl_joonised_aruandesse!D28</f>
        <v>-31.388969478045706</v>
      </c>
      <c r="E28" s="970"/>
      <c r="F28" s="970"/>
    </row>
    <row r="29" spans="1:6" ht="13.5" thickBot="1">
      <c r="A29" s="972" t="s">
        <v>487</v>
      </c>
    </row>
    <row r="30" spans="1:6" ht="26.25" thickBot="1">
      <c r="A30" s="910" t="s">
        <v>513</v>
      </c>
      <c r="B30" s="905" t="s">
        <v>474</v>
      </c>
      <c r="C30" s="905" t="s">
        <v>475</v>
      </c>
      <c r="D30" s="905" t="s">
        <v>549</v>
      </c>
      <c r="E30" s="905" t="s">
        <v>472</v>
      </c>
      <c r="F30" s="905" t="s">
        <v>473</v>
      </c>
    </row>
    <row r="31" spans="1:6" ht="13.5" thickBot="1">
      <c r="A31" s="994" t="s">
        <v>422</v>
      </c>
      <c r="B31" s="960">
        <f>(ROUND(tbl_joonised_aruandesse!B31/1000000,1)*1000)/16</f>
        <v>468.75</v>
      </c>
      <c r="C31" s="960">
        <f>(ROUND(tbl_joonised_aruandesse!C31/1000000,1)*1000)/16</f>
        <v>387.5</v>
      </c>
      <c r="D31" s="960">
        <f>(ROUND(tbl_joonised_aruandesse!D31/1000000,1)*1000)/16</f>
        <v>306.25</v>
      </c>
      <c r="E31" s="960">
        <f>(ROUND(tbl_joonised_aruandesse!E31/1000000,1)*1000)/16</f>
        <v>81.25</v>
      </c>
      <c r="F31" s="960">
        <f>(ROUND(tbl_joonised_aruandesse!F31/1000000,1)*1000)/16</f>
        <v>162.5</v>
      </c>
    </row>
    <row r="32" spans="1:6" ht="26.25" thickBot="1">
      <c r="A32" s="994" t="s">
        <v>482</v>
      </c>
      <c r="B32" s="960">
        <f>(ROUND(tbl_joonised_aruandesse!B32/1000000,1)*1000)/16</f>
        <v>25</v>
      </c>
      <c r="C32" s="960">
        <f>(ROUND(tbl_joonised_aruandesse!C32/1000000,1)*1000)/16</f>
        <v>125</v>
      </c>
      <c r="D32" s="960">
        <f>(ROUND(tbl_joonised_aruandesse!D32/1000000,1)*1000)/16</f>
        <v>231.25</v>
      </c>
      <c r="E32" s="960">
        <f>(ROUND(tbl_joonised_aruandesse!E32/1000000,1)*1000)/16</f>
        <v>-106.25</v>
      </c>
      <c r="F32" s="960">
        <f>(ROUND(tbl_joonised_aruandesse!F32/1000000,1)*1000)/16</f>
        <v>-206.25</v>
      </c>
    </row>
    <row r="33" spans="1:6" ht="13.5" thickBot="1">
      <c r="A33" s="994" t="s">
        <v>423</v>
      </c>
      <c r="B33" s="960">
        <f>(ROUND(tbl_joonised_aruandesse!B33/1000000,1)*1000)/16</f>
        <v>656.25</v>
      </c>
      <c r="C33" s="960">
        <f>(ROUND(tbl_joonised_aruandesse!C33/1000000,1)*1000)/16</f>
        <v>656.25</v>
      </c>
      <c r="D33" s="960">
        <f>(ROUND(tbl_joonised_aruandesse!D33/1000000,1)*1000)/16</f>
        <v>643.75</v>
      </c>
      <c r="E33" s="960">
        <f>(ROUND(tbl_joonised_aruandesse!E33/1000000,1)*1000)/16</f>
        <v>6.25</v>
      </c>
      <c r="F33" s="960">
        <f>(ROUND(tbl_joonised_aruandesse!F33/1000000,1)*1000)/16</f>
        <v>12.5</v>
      </c>
    </row>
    <row r="34" spans="1:6" ht="13.5" thickBot="1">
      <c r="A34" s="994" t="s">
        <v>424</v>
      </c>
      <c r="B34" s="960">
        <f>(ROUND(tbl_joonised_aruandesse!B34/1000000,1)*1000)/16</f>
        <v>318.75</v>
      </c>
      <c r="C34" s="960">
        <f>(ROUND(tbl_joonised_aruandesse!C34/1000000,1)*1000)/16</f>
        <v>312.5</v>
      </c>
      <c r="D34" s="960">
        <f>(ROUND(tbl_joonised_aruandesse!D34/1000000,1)*1000)/16</f>
        <v>281.25</v>
      </c>
      <c r="E34" s="960">
        <f>(ROUND(tbl_joonised_aruandesse!E34/1000000,1)*1000)/16</f>
        <v>0</v>
      </c>
      <c r="F34" s="960">
        <f>(ROUND(tbl_joonised_aruandesse!F34/1000000,1)*1000)/16</f>
        <v>37.5</v>
      </c>
    </row>
    <row r="35" spans="1:6" ht="13.5" thickBot="1">
      <c r="A35" s="911" t="s">
        <v>425</v>
      </c>
      <c r="B35" s="960">
        <f>(ROUND(tbl_joonised_aruandesse!B35/1000000,1)*1000)/16</f>
        <v>75</v>
      </c>
      <c r="C35" s="960">
        <f>(ROUND(tbl_joonised_aruandesse!C35/1000000,1)*1000)/16</f>
        <v>-25</v>
      </c>
      <c r="D35" s="960">
        <f>(ROUND(tbl_joonised_aruandesse!D35/1000000,1)*1000)/16</f>
        <v>-75</v>
      </c>
      <c r="E35" s="960">
        <f>(ROUND(tbl_joonised_aruandesse!E35/1000000,1)*1000)/16</f>
        <v>100</v>
      </c>
      <c r="F35" s="960">
        <f>(ROUND(tbl_joonised_aruandesse!F35/1000000,1)*1000)/16</f>
        <v>150</v>
      </c>
    </row>
    <row r="36" spans="1:6" ht="13.5" thickBot="1">
      <c r="A36" s="996" t="s">
        <v>514</v>
      </c>
      <c r="B36" s="960">
        <f>(ROUND(tbl_joonised_aruandesse!B36/1000000,1)*1000)/16</f>
        <v>975</v>
      </c>
      <c r="C36" s="960">
        <f>(ROUND(tbl_joonised_aruandesse!C36/1000000,1)*1000)/16</f>
        <v>968.75</v>
      </c>
      <c r="D36" s="960">
        <f>(ROUND(tbl_joonised_aruandesse!D36/1000000,1)*1000)/16</f>
        <v>925</v>
      </c>
      <c r="E36" s="960">
        <f>(ROUND(tbl_joonised_aruandesse!E36/1000000,1)*1000)/16</f>
        <v>6.25</v>
      </c>
      <c r="F36" s="960">
        <f>(ROUND(tbl_joonised_aruandesse!F36/1000000,1)*1000)/16</f>
        <v>50</v>
      </c>
    </row>
    <row r="39" spans="1:6">
      <c r="A39" s="933" t="s">
        <v>432</v>
      </c>
      <c r="B39" s="934"/>
      <c r="C39" s="934"/>
      <c r="D39" s="934" t="s">
        <v>438</v>
      </c>
      <c r="E39" s="934"/>
      <c r="F39" s="934"/>
    </row>
    <row r="40" spans="1:6" ht="15">
      <c r="A40" s="979"/>
      <c r="B40" s="980" t="s">
        <v>451</v>
      </c>
      <c r="C40" s="980" t="s">
        <v>412</v>
      </c>
      <c r="D40" s="980" t="s">
        <v>413</v>
      </c>
      <c r="E40" s="980" t="s">
        <v>166</v>
      </c>
      <c r="F40" s="978" t="s">
        <v>433</v>
      </c>
    </row>
    <row r="41" spans="1:6" ht="25.5">
      <c r="A41" s="981" t="s">
        <v>470</v>
      </c>
      <c r="B41" s="984">
        <f>ROUND(tbl_joonised_aruandesse!B41/1000,0)*1000</f>
        <v>13000</v>
      </c>
      <c r="C41" s="985">
        <f>tbl_joonised_aruandesse!C41</f>
        <v>0.42562303312257721</v>
      </c>
      <c r="D41" s="985">
        <f>tbl_joonised_aruandesse!D41</f>
        <v>0.35365717879634406</v>
      </c>
      <c r="E41" s="985">
        <f>tbl_joonised_aruandesse!E41</f>
        <v>0.20075226146724656</v>
      </c>
      <c r="F41" t="s">
        <v>441</v>
      </c>
    </row>
    <row r="42" spans="1:6" ht="25.5">
      <c r="A42" s="981" t="s">
        <v>428</v>
      </c>
      <c r="B42" s="986">
        <f>tbl_joonised_aruandesse!B42</f>
        <v>0.19276242637883403</v>
      </c>
      <c r="C42" s="986">
        <f>tbl_joonised_aruandesse!C42</f>
        <v>0.15166835187057634</v>
      </c>
      <c r="D42" s="986">
        <f>tbl_joonised_aruandesse!D42</f>
        <v>0.16186140617096612</v>
      </c>
      <c r="E42" s="986">
        <f>tbl_joonised_aruandesse!E42</f>
        <v>0.23469387755102042</v>
      </c>
      <c r="F42" t="s">
        <v>450</v>
      </c>
    </row>
    <row r="43" spans="1:6" ht="25.5">
      <c r="A43" s="981" t="s">
        <v>469</v>
      </c>
      <c r="B43" s="986"/>
      <c r="C43" s="987">
        <f>tbl_joonised_aruandesse!C43</f>
        <v>-150</v>
      </c>
      <c r="D43" s="987">
        <f>tbl_joonised_aruandesse!D43</f>
        <v>51</v>
      </c>
      <c r="E43" s="987">
        <f>tbl_joonised_aruandesse!E43</f>
        <v>151.95311575108363</v>
      </c>
    </row>
    <row r="44" spans="1:6">
      <c r="A44" s="981" t="s">
        <v>443</v>
      </c>
      <c r="B44" s="987">
        <f>tbl_joonised_aruandesse!B44</f>
        <v>423.20877733805878</v>
      </c>
      <c r="C44" s="985">
        <f>tbl_joonised_aruandesse!C44</f>
        <v>0.33493313165345762</v>
      </c>
      <c r="D44" s="985">
        <f>tbl_joonised_aruandesse!D44</f>
        <v>0.31720951271946363</v>
      </c>
      <c r="E44" s="985">
        <f>tbl_joonised_aruandesse!E44</f>
        <v>4.1939556150871082E-2</v>
      </c>
      <c r="F44" t="s">
        <v>444</v>
      </c>
    </row>
    <row r="45" spans="1:6">
      <c r="A45" s="981" t="s">
        <v>440</v>
      </c>
      <c r="B45" s="984">
        <f>ROUND(tbl_joonised_aruandesse!B45/1000,0)*1000</f>
        <v>565000</v>
      </c>
      <c r="C45" s="985">
        <f>tbl_joonised_aruandesse!C45</f>
        <v>0.27964601769911512</v>
      </c>
      <c r="D45" s="985">
        <f>tbl_joonised_aruandesse!D45</f>
        <v>0.26194690265486731</v>
      </c>
      <c r="E45" s="988">
        <f>tbl_joonised_aruandesse!E45</f>
        <v>-1.7699115044247371E-3</v>
      </c>
      <c r="F45" t="s">
        <v>444</v>
      </c>
    </row>
    <row r="46" spans="1:6">
      <c r="A46" s="981" t="s">
        <v>495</v>
      </c>
      <c r="B46" s="989"/>
      <c r="C46" s="989"/>
      <c r="D46" s="989"/>
      <c r="E46" s="989"/>
    </row>
    <row r="47" spans="1:6">
      <c r="A47" s="982" t="s">
        <v>496</v>
      </c>
      <c r="B47" s="989">
        <f>tbl_joonised_aruandesse!B47</f>
        <v>2.77</v>
      </c>
      <c r="C47" s="985">
        <f>tbl_joonised_aruandesse!C47</f>
        <v>-5.8833749823755999E-2</v>
      </c>
      <c r="D47" s="985">
        <f>tbl_joonised_aruandesse!D47</f>
        <v>-8.4279847881186254E-2</v>
      </c>
      <c r="E47" s="985">
        <f>tbl_joonised_aruandesse!E47</f>
        <v>-0.17013658772714801</v>
      </c>
      <c r="F47" t="s">
        <v>459</v>
      </c>
    </row>
    <row r="48" spans="1:6">
      <c r="A48" s="982" t="s">
        <v>497</v>
      </c>
      <c r="B48" s="989">
        <f>tbl_joonised_aruandesse!B48</f>
        <v>0.57650000000000001</v>
      </c>
      <c r="C48" s="985">
        <f>tbl_joonised_aruandesse!C48</f>
        <v>-7.0738652789823719E-2</v>
      </c>
      <c r="D48" s="985">
        <f>tbl_joonised_aruandesse!D48</f>
        <v>-0.18177276669557674</v>
      </c>
      <c r="E48" s="985">
        <f>tbl_joonised_aruandesse!E48</f>
        <v>-0.23628794449262802</v>
      </c>
      <c r="F48" t="s">
        <v>460</v>
      </c>
    </row>
    <row r="49" spans="1:6">
      <c r="A49" s="982" t="s">
        <v>498</v>
      </c>
      <c r="B49" s="989">
        <f>tbl_joonised_aruandesse!B49</f>
        <v>0.86569339523493338</v>
      </c>
      <c r="C49" s="985">
        <f>tbl_joonised_aruandesse!C49</f>
        <v>-0.29244493764859669</v>
      </c>
      <c r="D49" s="985">
        <f>tbl_joonised_aruandesse!D49</f>
        <v>-0.37688513718210603</v>
      </c>
      <c r="E49" s="985">
        <f>tbl_joonised_aruandesse!E49</f>
        <v>-0.49300200402401062</v>
      </c>
      <c r="F49" t="s">
        <v>460</v>
      </c>
    </row>
    <row r="50" spans="1:6">
      <c r="A50" s="983" t="s">
        <v>499</v>
      </c>
      <c r="B50" s="989">
        <f>tbl_joonised_aruandesse!B52</f>
        <v>2.4217391304347826</v>
      </c>
      <c r="C50" s="985">
        <f>tbl_joonised_aruandesse!C52</f>
        <v>-3.6763554757630046E-2</v>
      </c>
      <c r="D50" s="985">
        <f>tbl_joonised_aruandesse!D52</f>
        <v>-0.1665459691202873</v>
      </c>
      <c r="E50" s="985">
        <f>tbl_joonised_aruandesse!E52</f>
        <v>-0.23935536373429078</v>
      </c>
      <c r="F50" t="s">
        <v>461</v>
      </c>
    </row>
    <row r="51" spans="1:6">
      <c r="A51" s="983" t="s">
        <v>500</v>
      </c>
      <c r="B51" s="989">
        <f>tbl_joonised_aruandesse!B53</f>
        <v>0.21377777777777779</v>
      </c>
      <c r="C51" s="985">
        <f>tbl_joonised_aruandesse!C53</f>
        <v>-6.6666666666666541E-2</v>
      </c>
      <c r="D51" s="985">
        <f>tbl_joonised_aruandesse!D53</f>
        <v>-0.12596153846153835</v>
      </c>
      <c r="E51" s="985">
        <f>tbl_joonised_aruandesse!E53</f>
        <v>-0.12596153846153846</v>
      </c>
      <c r="F51" t="s">
        <v>461</v>
      </c>
    </row>
    <row r="52" spans="1:6">
      <c r="A52" s="983" t="s">
        <v>501</v>
      </c>
      <c r="B52" s="989">
        <f>tbl_joonised_aruandesse!B54</f>
        <v>1.1623777746230282</v>
      </c>
      <c r="C52" s="986">
        <f>tbl_joonised_aruandesse!C54</f>
        <v>0.21771027637780582</v>
      </c>
      <c r="D52" s="986">
        <f>tbl_joonised_aruandesse!D54</f>
        <v>-4.1311073971499468E-3</v>
      </c>
      <c r="E52" s="986">
        <f>tbl_joonised_aruandesse!E54</f>
        <v>-0.26964953173221018</v>
      </c>
      <c r="F52" t="s">
        <v>461</v>
      </c>
    </row>
    <row r="53" spans="1:6">
      <c r="A53" s="981" t="s">
        <v>505</v>
      </c>
      <c r="B53" s="995">
        <v>11600</v>
      </c>
      <c r="C53" s="985">
        <f>tbl_joonised_aruandesse!C50</f>
        <v>0.34552867660798392</v>
      </c>
      <c r="D53" s="985">
        <f>tbl_joonised_aruandesse!D50</f>
        <v>0.27825224277758465</v>
      </c>
      <c r="E53" s="985">
        <f>tbl_joonised_aruandesse!E50</f>
        <v>0.19554263528658566</v>
      </c>
    </row>
    <row r="54" spans="1:6">
      <c r="A54" s="981" t="s">
        <v>494</v>
      </c>
      <c r="B54" s="986">
        <f>tbl_joonised_aruandesse!B51</f>
        <v>0.57037291630864406</v>
      </c>
      <c r="C54" s="986">
        <f>tbl_joonised_aruandesse!C51</f>
        <v>0.43</v>
      </c>
      <c r="D54" s="986">
        <f>tbl_joonised_aruandesse!D51</f>
        <v>0.46999999999999992</v>
      </c>
      <c r="E54" s="986">
        <f>tbl_joonised_aruandesse!E51</f>
        <v>0.6</v>
      </c>
    </row>
    <row r="55" spans="1:6" ht="25.5">
      <c r="A55" s="981" t="s">
        <v>431</v>
      </c>
      <c r="B55" s="986">
        <f>tbl_joonised_aruandesse!B55</f>
        <v>0</v>
      </c>
      <c r="C55" s="986">
        <f>tbl_joonised_aruandesse!C55</f>
        <v>8.898380397466836E-2</v>
      </c>
      <c r="D55" s="986">
        <f>tbl_joonised_aruandesse!D55</f>
        <v>0.1549397652409544</v>
      </c>
      <c r="E55" s="986">
        <f>tbl_joonised_aruandesse!E55</f>
        <v>0.2611373218384524</v>
      </c>
    </row>
    <row r="56" spans="1:6">
      <c r="A56" s="976"/>
      <c r="B56" s="990"/>
      <c r="C56" s="990"/>
      <c r="D56" s="990"/>
      <c r="E56" s="990"/>
    </row>
    <row r="57" spans="1:6">
      <c r="A57" s="977"/>
      <c r="B57" s="58"/>
      <c r="C57" s="58"/>
      <c r="D57" s="58"/>
      <c r="E57" s="58"/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"/>
  <sheetViews>
    <sheetView topLeftCell="A7" workbookViewId="0">
      <selection activeCell="R15" sqref="R15"/>
    </sheetView>
  </sheetViews>
  <sheetFormatPr defaultColWidth="8.85546875" defaultRowHeight="12.75"/>
  <cols>
    <col min="1" max="1" width="3.7109375" customWidth="1"/>
    <col min="2" max="2" width="21.140625" style="1076" customWidth="1"/>
    <col min="3" max="3" width="7.42578125" customWidth="1"/>
    <col min="4" max="5" width="6.85546875" customWidth="1"/>
    <col min="6" max="6" width="7.42578125" customWidth="1"/>
    <col min="7" max="7" width="5.28515625" customWidth="1"/>
    <col min="11" max="11" width="8.28515625" customWidth="1"/>
    <col min="12" max="12" width="7.42578125" customWidth="1"/>
    <col min="13" max="13" width="8.28515625" customWidth="1"/>
    <col min="15" max="15" width="8.42578125" customWidth="1"/>
  </cols>
  <sheetData>
    <row r="2" spans="1:16">
      <c r="A2" s="1066"/>
      <c r="B2" s="1121" t="s">
        <v>543</v>
      </c>
      <c r="C2" s="1122"/>
      <c r="D2" s="1122"/>
      <c r="E2" s="1122"/>
      <c r="F2" s="1123"/>
      <c r="G2" s="1121" t="s">
        <v>544</v>
      </c>
      <c r="H2" s="1122"/>
      <c r="I2" s="1122"/>
      <c r="J2" s="1122"/>
      <c r="K2" s="1123"/>
      <c r="L2" s="1121" t="s">
        <v>230</v>
      </c>
      <c r="M2" s="1122"/>
      <c r="N2" s="1122"/>
      <c r="O2" s="1122"/>
      <c r="P2" s="1123"/>
    </row>
    <row r="3" spans="1:16" ht="24">
      <c r="A3" s="1066"/>
      <c r="B3" s="1067"/>
      <c r="C3" s="1068" t="str">
        <f>[7]Meetmed_maksumustega_2030!P87</f>
        <v>Kulud/a</v>
      </c>
      <c r="D3" s="1068" t="s">
        <v>545</v>
      </c>
      <c r="E3" s="1068" t="s">
        <v>546</v>
      </c>
      <c r="F3" s="1068" t="str">
        <f>[7]Meetmed_maksumustega_2030!S87</f>
        <v>Maksu-tulu</v>
      </c>
      <c r="G3" s="1068" t="s">
        <v>547</v>
      </c>
      <c r="H3" s="1068" t="str">
        <f>[7]Meetmed_maksumustega_2030!V87</f>
        <v>Kulud/a</v>
      </c>
      <c r="I3" s="1068" t="s">
        <v>545</v>
      </c>
      <c r="J3" s="1068" t="s">
        <v>546</v>
      </c>
      <c r="K3" s="1068" t="str">
        <f>[7]Meetmed_maksumustega_2030!Y87</f>
        <v>Maksu-tulu</v>
      </c>
      <c r="L3" s="1068" t="s">
        <v>547</v>
      </c>
      <c r="M3" s="1068" t="str">
        <f>[7]Meetmed_maksumustega_2030!AB87</f>
        <v>Kulud/a</v>
      </c>
      <c r="N3" s="1068" t="s">
        <v>545</v>
      </c>
      <c r="O3" s="1068" t="s">
        <v>546</v>
      </c>
      <c r="P3" s="1068" t="str">
        <f>[7]Meetmed_maksumustega_2030!AE87</f>
        <v>Maksu-tulu</v>
      </c>
    </row>
    <row r="4" spans="1:16" ht="24">
      <c r="A4" s="1066">
        <f>[7]Meetmed_maksumustega_2030!A88</f>
        <v>1</v>
      </c>
      <c r="B4" s="1067" t="str">
        <f>[7]Meetmed_maksumustega_2030!B88</f>
        <v>Kilomeetripõhised autode teekasutustasud</v>
      </c>
      <c r="C4" s="1069">
        <f>[7]Meetmed_maksumustega_2030!P88</f>
        <v>50000</v>
      </c>
      <c r="D4" s="1069">
        <f>[7]Meetmed_maksumustega_2030!Q88</f>
        <v>193900</v>
      </c>
      <c r="E4" s="1069">
        <f>[7]Meetmed_maksumustega_2030!R88</f>
        <v>58900</v>
      </c>
      <c r="F4" s="1069">
        <f>[7]Meetmed_maksumustega_2030!S88</f>
        <v>250000</v>
      </c>
      <c r="G4" s="1070">
        <f>[7]Meetmed_maksumustega_2030!U88</f>
        <v>0.3</v>
      </c>
      <c r="H4" s="1069">
        <f>[7]Meetmed_maksumustega_2030!V88</f>
        <v>15000</v>
      </c>
      <c r="I4" s="1069">
        <f>[7]Meetmed_maksumustega_2030!W88</f>
        <v>58200</v>
      </c>
      <c r="J4" s="1069">
        <f>[7]Meetmed_maksumustega_2030!X88</f>
        <v>17700</v>
      </c>
      <c r="K4" s="1069">
        <f>[7]Meetmed_maksumustega_2030!Y88</f>
        <v>75000</v>
      </c>
      <c r="L4" s="1070">
        <f>[7]Meetmed_maksumustega_2030!AA88</f>
        <v>1</v>
      </c>
      <c r="M4" s="1069">
        <f>[7]Meetmed_maksumustega_2030!AB88</f>
        <v>37000</v>
      </c>
      <c r="N4" s="1069">
        <f>[7]Meetmed_maksumustega_2030!AC88</f>
        <v>193900</v>
      </c>
      <c r="O4" s="1069">
        <f>[7]Meetmed_maksumustega_2030!AD88</f>
        <v>58900</v>
      </c>
      <c r="P4" s="1069">
        <f>[7]Meetmed_maksumustega_2030!AE88</f>
        <v>177000</v>
      </c>
    </row>
    <row r="5" spans="1:16" ht="24">
      <c r="A5" s="1066">
        <f>[7]Meetmed_maksumustega_2030!A89</f>
        <v>1.1000000000000001</v>
      </c>
      <c r="B5" s="1067" t="str">
        <f>[7]Meetmed_maksumustega_2030!B89</f>
        <v xml:space="preserve"> Raskeveokite teekasutustasud</v>
      </c>
      <c r="C5" s="1069">
        <f>[7]Meetmed_maksumustega_2030!P89</f>
        <v>12000</v>
      </c>
      <c r="D5" s="1069">
        <f>[7]Meetmed_maksumustega_2030!Q89</f>
        <v>10000</v>
      </c>
      <c r="E5" s="1069">
        <f>[7]Meetmed_maksumustega_2030!R89</f>
        <v>3200</v>
      </c>
      <c r="F5" s="1069">
        <f>[7]Meetmed_maksumustega_2030!S89</f>
        <v>60000</v>
      </c>
      <c r="G5" s="1070">
        <f>[7]Meetmed_maksumustega_2030!U89</f>
        <v>1</v>
      </c>
      <c r="H5" s="1069">
        <f>[7]Meetmed_maksumustega_2030!V89</f>
        <v>12000</v>
      </c>
      <c r="I5" s="1069">
        <f>[7]Meetmed_maksumustega_2030!W89</f>
        <v>10000</v>
      </c>
      <c r="J5" s="1069">
        <f>[7]Meetmed_maksumustega_2030!X89</f>
        <v>3200</v>
      </c>
      <c r="K5" s="1069">
        <f>[7]Meetmed_maksumustega_2030!Y89</f>
        <v>60000</v>
      </c>
      <c r="L5" s="1070">
        <f>[7]Meetmed_maksumustega_2030!AA89</f>
        <v>1</v>
      </c>
      <c r="M5" s="1069">
        <f>[7]Meetmed_maksumustega_2030!AB89</f>
        <v>12000</v>
      </c>
      <c r="N5" s="1069">
        <f>[7]Meetmed_maksumustega_2030!AC89</f>
        <v>10000</v>
      </c>
      <c r="O5" s="1069">
        <f>[7]Meetmed_maksumustega_2030!AD89</f>
        <v>3200</v>
      </c>
      <c r="P5" s="1069">
        <f>[7]Meetmed_maksumustega_2030!AE89</f>
        <v>60000</v>
      </c>
    </row>
    <row r="6" spans="1:16">
      <c r="A6" s="1066">
        <f>[7]Meetmed_maksumustega_2030!A90</f>
        <v>2</v>
      </c>
      <c r="B6" s="1067" t="str">
        <f>[7]Meetmed_maksumustega_2030!B90</f>
        <v xml:space="preserve"> Kütuseaktsiisi tõstmine</v>
      </c>
      <c r="C6" s="1069">
        <f>[7]Meetmed_maksumustega_2030!P90</f>
        <v>0</v>
      </c>
      <c r="D6" s="1069">
        <f>[7]Meetmed_maksumustega_2030!Q90</f>
        <v>40500</v>
      </c>
      <c r="E6" s="1069">
        <f>[7]Meetmed_maksumustega_2030!R90</f>
        <v>12600</v>
      </c>
      <c r="F6" s="1069">
        <f>[7]Meetmed_maksumustega_2030!S90</f>
        <v>70000</v>
      </c>
      <c r="G6" s="1070">
        <f>[7]Meetmed_maksumustega_2030!U90</f>
        <v>0.3</v>
      </c>
      <c r="H6" s="1069">
        <f>[7]Meetmed_maksumustega_2030!V90</f>
        <v>0</v>
      </c>
      <c r="I6" s="1069">
        <f>[7]Meetmed_maksumustega_2030!W90</f>
        <v>12100</v>
      </c>
      <c r="J6" s="1069">
        <f>[7]Meetmed_maksumustega_2030!X90</f>
        <v>3800</v>
      </c>
      <c r="K6" s="1069">
        <f>[7]Meetmed_maksumustega_2030!Y90</f>
        <v>21000</v>
      </c>
      <c r="L6" s="1070">
        <f>[7]Meetmed_maksumustega_2030!AA90</f>
        <v>0</v>
      </c>
      <c r="M6" s="1069">
        <f>[7]Meetmed_maksumustega_2030!AB90</f>
        <v>0</v>
      </c>
      <c r="N6" s="1069">
        <f>[7]Meetmed_maksumustega_2030!AC90</f>
        <v>0</v>
      </c>
      <c r="O6" s="1069">
        <f>[7]Meetmed_maksumustega_2030!AD90</f>
        <v>0</v>
      </c>
      <c r="P6" s="1069">
        <f>[7]Meetmed_maksumustega_2030!AE90</f>
        <v>0</v>
      </c>
    </row>
    <row r="7" spans="1:16" ht="36">
      <c r="A7" s="1066">
        <f>[7]Meetmed_maksumustega_2030!A91</f>
        <v>3</v>
      </c>
      <c r="B7" s="1067" t="str">
        <f>[7]Meetmed_maksumustega_2030!B91</f>
        <v>Linnade parkimispoliitika uuendamine</v>
      </c>
      <c r="C7" s="1069">
        <f>[7]Meetmed_maksumustega_2030!P91</f>
        <v>2400</v>
      </c>
      <c r="D7" s="1069">
        <f>[7]Meetmed_maksumustega_2030!Q91</f>
        <v>42900</v>
      </c>
      <c r="E7" s="1069">
        <f>[7]Meetmed_maksumustega_2030!R91</f>
        <v>14700</v>
      </c>
      <c r="F7" s="1069">
        <f>[7]Meetmed_maksumustega_2030!S91</f>
        <v>24000</v>
      </c>
      <c r="G7" s="1070">
        <f>[7]Meetmed_maksumustega_2030!U91</f>
        <v>0.1</v>
      </c>
      <c r="H7" s="1069">
        <f>[7]Meetmed_maksumustega_2030!V91</f>
        <v>200</v>
      </c>
      <c r="I7" s="1069">
        <f>[7]Meetmed_maksumustega_2030!W91</f>
        <v>4300</v>
      </c>
      <c r="J7" s="1069">
        <f>[7]Meetmed_maksumustega_2030!X91</f>
        <v>1500</v>
      </c>
      <c r="K7" s="1069">
        <f>[7]Meetmed_maksumustega_2030!Y91</f>
        <v>2400</v>
      </c>
      <c r="L7" s="1070">
        <f>[7]Meetmed_maksumustega_2030!AA91</f>
        <v>1</v>
      </c>
      <c r="M7" s="1069">
        <f>[7]Meetmed_maksumustega_2030!AB91</f>
        <v>2400</v>
      </c>
      <c r="N7" s="1069">
        <f>[7]Meetmed_maksumustega_2030!AC91</f>
        <v>42900</v>
      </c>
      <c r="O7" s="1069">
        <f>[7]Meetmed_maksumustega_2030!AD91</f>
        <v>14700</v>
      </c>
      <c r="P7" s="1069">
        <f>[7]Meetmed_maksumustega_2030!AE91</f>
        <v>24000</v>
      </c>
    </row>
    <row r="8" spans="1:16">
      <c r="A8" s="1066">
        <f>[7]Meetmed_maksumustega_2030!A92</f>
        <v>4</v>
      </c>
      <c r="B8" s="1067" t="str">
        <f>[7]Meetmed_maksumustega_2030!B92</f>
        <v>Ummikumaks Tallinnas</v>
      </c>
      <c r="C8" s="1069">
        <f>[7]Meetmed_maksumustega_2030!P92</f>
        <v>13000</v>
      </c>
      <c r="D8" s="1069">
        <f>[7]Meetmed_maksumustega_2030!Q92</f>
        <v>47400</v>
      </c>
      <c r="E8" s="1069">
        <f>[7]Meetmed_maksumustega_2030!R92</f>
        <v>14700</v>
      </c>
      <c r="F8" s="1069">
        <f>[7]Meetmed_maksumustega_2030!S92</f>
        <v>73000</v>
      </c>
      <c r="G8" s="1070">
        <f>[7]Meetmed_maksumustega_2030!U92</f>
        <v>0</v>
      </c>
      <c r="H8" s="1069">
        <f>[7]Meetmed_maksumustega_2030!V92</f>
        <v>0</v>
      </c>
      <c r="I8" s="1069">
        <f>[7]Meetmed_maksumustega_2030!W92</f>
        <v>0</v>
      </c>
      <c r="J8" s="1069">
        <f>[7]Meetmed_maksumustega_2030!X92</f>
        <v>0</v>
      </c>
      <c r="K8" s="1069">
        <f>[7]Meetmed_maksumustega_2030!Y92</f>
        <v>0</v>
      </c>
      <c r="L8" s="1070">
        <f>[7]Meetmed_maksumustega_2030!AA92</f>
        <v>1</v>
      </c>
      <c r="M8" s="1069">
        <f>[7]Meetmed_maksumustega_2030!AB92</f>
        <v>13000</v>
      </c>
      <c r="N8" s="1069">
        <f>[7]Meetmed_maksumustega_2030!AC92</f>
        <v>47400</v>
      </c>
      <c r="O8" s="1069">
        <f>[7]Meetmed_maksumustega_2030!AD92</f>
        <v>14700</v>
      </c>
      <c r="P8" s="1069">
        <f>[7]Meetmed_maksumustega_2030!AE92</f>
        <v>73000</v>
      </c>
    </row>
    <row r="9" spans="1:16" ht="24">
      <c r="A9" s="1066">
        <f>[7]Meetmed_maksumustega_2030!A93</f>
        <v>5</v>
      </c>
      <c r="B9" s="1067" t="str">
        <f>[7]Meetmed_maksumustega_2030!B93</f>
        <v>Ühistranspordi teenuse arendamine</v>
      </c>
      <c r="C9" s="1069">
        <f>[7]Meetmed_maksumustega_2030!P93</f>
        <v>16400</v>
      </c>
      <c r="D9" s="1069">
        <f>[7]Meetmed_maksumustega_2030!Q93</f>
        <v>51790</v>
      </c>
      <c r="E9" s="1069">
        <f>[7]Meetmed_maksumustega_2030!R93</f>
        <v>15600</v>
      </c>
      <c r="F9" s="1069">
        <f>[7]Meetmed_maksumustega_2030!S93</f>
        <v>0</v>
      </c>
      <c r="G9" s="1070">
        <f>[7]Meetmed_maksumustega_2030!U93</f>
        <v>0.5</v>
      </c>
      <c r="H9" s="1069">
        <f>[7]Meetmed_maksumustega_2030!V93</f>
        <v>8200</v>
      </c>
      <c r="I9" s="1069">
        <f>[7]Meetmed_maksumustega_2030!W93</f>
        <v>25900</v>
      </c>
      <c r="J9" s="1069">
        <f>[7]Meetmed_maksumustega_2030!X93</f>
        <v>7800</v>
      </c>
      <c r="K9" s="1069">
        <f>[7]Meetmed_maksumustega_2030!Y93</f>
        <v>0</v>
      </c>
      <c r="L9" s="1070">
        <f>[7]Meetmed_maksumustega_2030!AA93</f>
        <v>1</v>
      </c>
      <c r="M9" s="1069">
        <f>[7]Meetmed_maksumustega_2030!AB93</f>
        <v>16400</v>
      </c>
      <c r="N9" s="1069">
        <f>[7]Meetmed_maksumustega_2030!AC93</f>
        <v>51800</v>
      </c>
      <c r="O9" s="1069">
        <f>[7]Meetmed_maksumustega_2030!AD93</f>
        <v>15600</v>
      </c>
      <c r="P9" s="1069">
        <f>[7]Meetmed_maksumustega_2030!AE93</f>
        <v>0</v>
      </c>
    </row>
    <row r="10" spans="1:16">
      <c r="A10" s="1066">
        <f>[7]Meetmed_maksumustega_2030!A94</f>
        <v>6</v>
      </c>
      <c r="B10" s="1067" t="str">
        <f>[7]Meetmed_maksumustega_2030!B94</f>
        <v>Kergliikluse arend.</v>
      </c>
      <c r="C10" s="1069">
        <f>[7]Meetmed_maksumustega_2030!P94</f>
        <v>13900</v>
      </c>
      <c r="D10" s="1069">
        <f>[7]Meetmed_maksumustega_2030!Q94</f>
        <v>13800</v>
      </c>
      <c r="E10" s="1069">
        <f>[7]Meetmed_maksumustega_2030!R94</f>
        <v>4200</v>
      </c>
      <c r="F10" s="1069">
        <f>[7]Meetmed_maksumustega_2030!S94</f>
        <v>0</v>
      </c>
      <c r="G10" s="1070">
        <f>[7]Meetmed_maksumustega_2030!U94</f>
        <v>0.5</v>
      </c>
      <c r="H10" s="1069">
        <f>[7]Meetmed_maksumustega_2030!V94</f>
        <v>7000</v>
      </c>
      <c r="I10" s="1069">
        <f>[7]Meetmed_maksumustega_2030!W94</f>
        <v>6900</v>
      </c>
      <c r="J10" s="1069">
        <f>[7]Meetmed_maksumustega_2030!X94</f>
        <v>2100</v>
      </c>
      <c r="K10" s="1069">
        <f>[7]Meetmed_maksumustega_2030!Y94</f>
        <v>0</v>
      </c>
      <c r="L10" s="1070">
        <f>[7]Meetmed_maksumustega_2030!AA94</f>
        <v>1</v>
      </c>
      <c r="M10" s="1069">
        <f>[7]Meetmed_maksumustega_2030!AB94</f>
        <v>13900</v>
      </c>
      <c r="N10" s="1069">
        <f>[7]Meetmed_maksumustega_2030!AC94</f>
        <v>13800</v>
      </c>
      <c r="O10" s="1069">
        <f>[7]Meetmed_maksumustega_2030!AD94</f>
        <v>4200</v>
      </c>
      <c r="P10" s="1069">
        <f>[7]Meetmed_maksumustega_2030!AE94</f>
        <v>0</v>
      </c>
    </row>
    <row r="11" spans="1:16">
      <c r="A11" s="1066">
        <f>[7]Meetmed_maksumustega_2030!A95</f>
        <v>7</v>
      </c>
      <c r="B11" s="1067" t="str">
        <f>[7]Meetmed_maksumustega_2030!B95</f>
        <v>Maakasutuse suunamine</v>
      </c>
      <c r="C11" s="1069">
        <f>[7]Meetmed_maksumustega_2030!P95</f>
        <v>10000</v>
      </c>
      <c r="D11" s="1069">
        <f>[7]Meetmed_maksumustega_2030!Q95</f>
        <v>109800</v>
      </c>
      <c r="E11" s="1069">
        <f>[7]Meetmed_maksumustega_2030!R95</f>
        <v>33700</v>
      </c>
      <c r="F11" s="1069">
        <f>[7]Meetmed_maksumustega_2030!S95</f>
        <v>0</v>
      </c>
      <c r="G11" s="1070">
        <f>[7]Meetmed_maksumustega_2030!U95</f>
        <v>0.3</v>
      </c>
      <c r="H11" s="1069">
        <f>[7]Meetmed_maksumustega_2030!V95</f>
        <v>3000</v>
      </c>
      <c r="I11" s="1069">
        <f>[7]Meetmed_maksumustega_2030!W95</f>
        <v>33000</v>
      </c>
      <c r="J11" s="1069">
        <f>[7]Meetmed_maksumustega_2030!X95</f>
        <v>10100</v>
      </c>
      <c r="K11" s="1069">
        <f>[7]Meetmed_maksumustega_2030!Y95</f>
        <v>0</v>
      </c>
      <c r="L11" s="1070">
        <f>[7]Meetmed_maksumustega_2030!AA95</f>
        <v>1</v>
      </c>
      <c r="M11" s="1069">
        <f>[7]Meetmed_maksumustega_2030!AB95</f>
        <v>10000</v>
      </c>
      <c r="N11" s="1069">
        <f>[7]Meetmed_maksumustega_2030!AC95</f>
        <v>109800</v>
      </c>
      <c r="O11" s="1069">
        <f>[7]Meetmed_maksumustega_2030!AD95</f>
        <v>33700</v>
      </c>
      <c r="P11" s="1069">
        <f>[7]Meetmed_maksumustega_2030!AE95</f>
        <v>0</v>
      </c>
    </row>
    <row r="12" spans="1:16" ht="24">
      <c r="A12" s="1066">
        <f>[7]Meetmed_maksumustega_2030!A96</f>
        <v>8</v>
      </c>
      <c r="B12" s="1067" t="str">
        <f>[7]Meetmed_maksumustega_2030!B96</f>
        <v>Linnatänavate ümberkorrald.</v>
      </c>
      <c r="C12" s="1069">
        <f>[7]Meetmed_maksumustega_2030!P96</f>
        <v>4100</v>
      </c>
      <c r="D12" s="1069">
        <f>[7]Meetmed_maksumustega_2030!Q96</f>
        <v>35800</v>
      </c>
      <c r="E12" s="1069">
        <f>[7]Meetmed_maksumustega_2030!R96</f>
        <v>10800</v>
      </c>
      <c r="F12" s="1069">
        <f>[7]Meetmed_maksumustega_2030!S96</f>
        <v>0</v>
      </c>
      <c r="G12" s="1070">
        <f>[7]Meetmed_maksumustega_2030!U96</f>
        <v>0.3</v>
      </c>
      <c r="H12" s="1069">
        <f>[7]Meetmed_maksumustega_2030!V96</f>
        <v>1200</v>
      </c>
      <c r="I12" s="1069">
        <f>[7]Meetmed_maksumustega_2030!W96</f>
        <v>10700</v>
      </c>
      <c r="J12" s="1069">
        <f>[7]Meetmed_maksumustega_2030!X96</f>
        <v>3300</v>
      </c>
      <c r="K12" s="1069">
        <f>[7]Meetmed_maksumustega_2030!Y96</f>
        <v>0</v>
      </c>
      <c r="L12" s="1070">
        <f>[7]Meetmed_maksumustega_2030!AA96</f>
        <v>1</v>
      </c>
      <c r="M12" s="1069">
        <f>[7]Meetmed_maksumustega_2030!AB96</f>
        <v>4100</v>
      </c>
      <c r="N12" s="1069">
        <f>[7]Meetmed_maksumustega_2030!AC96</f>
        <v>35800</v>
      </c>
      <c r="O12" s="1069">
        <f>[7]Meetmed_maksumustega_2030!AD96</f>
        <v>10800</v>
      </c>
      <c r="P12" s="1069">
        <f>[7]Meetmed_maksumustega_2030!AE96</f>
        <v>0</v>
      </c>
    </row>
    <row r="13" spans="1:16" ht="24">
      <c r="A13" s="1066">
        <f>[7]Meetmed_maksumustega_2030!A97</f>
        <v>9</v>
      </c>
      <c r="B13" s="1067" t="str">
        <f>[7]Meetmed_maksumustega_2030!B97</f>
        <v>Linnade ja ettevõtete liikuvuskorraldus</v>
      </c>
      <c r="C13" s="1069">
        <f>[7]Meetmed_maksumustega_2030!P97</f>
        <v>200</v>
      </c>
      <c r="D13" s="1069">
        <f>[7]Meetmed_maksumustega_2030!Q97</f>
        <v>7600</v>
      </c>
      <c r="E13" s="1069">
        <f>[7]Meetmed_maksumustega_2030!R97</f>
        <v>2300</v>
      </c>
      <c r="F13" s="1069">
        <f>[7]Meetmed_maksumustega_2030!S97</f>
        <v>0</v>
      </c>
      <c r="G13" s="1070">
        <f>[7]Meetmed_maksumustega_2030!U97</f>
        <v>0.5</v>
      </c>
      <c r="H13" s="1069">
        <f>[7]Meetmed_maksumustega_2030!V97</f>
        <v>100</v>
      </c>
      <c r="I13" s="1069">
        <f>[7]Meetmed_maksumustega_2030!W97</f>
        <v>3800</v>
      </c>
      <c r="J13" s="1069">
        <f>[7]Meetmed_maksumustega_2030!X97</f>
        <v>1200</v>
      </c>
      <c r="K13" s="1069">
        <f>[7]Meetmed_maksumustega_2030!Y97</f>
        <v>0</v>
      </c>
      <c r="L13" s="1070">
        <f>[7]Meetmed_maksumustega_2030!AA97</f>
        <v>1</v>
      </c>
      <c r="M13" s="1069">
        <f>[7]Meetmed_maksumustega_2030!AB97</f>
        <v>200</v>
      </c>
      <c r="N13" s="1069">
        <f>[7]Meetmed_maksumustega_2030!AC97</f>
        <v>7600</v>
      </c>
      <c r="O13" s="1069">
        <f>[7]Meetmed_maksumustega_2030!AD97</f>
        <v>2300</v>
      </c>
      <c r="P13" s="1069">
        <f>[7]Meetmed_maksumustega_2030!AE97</f>
        <v>0</v>
      </c>
    </row>
    <row r="14" spans="1:16" ht="24">
      <c r="A14" s="1066">
        <f>[7]Meetmed_maksumustega_2030!A98</f>
        <v>10</v>
      </c>
      <c r="B14" s="1067" t="str">
        <f>[7]Meetmed_maksumustega_2030!B98</f>
        <v xml:space="preserve"> Kaugtöötamise arendamine</v>
      </c>
      <c r="C14" s="1069">
        <f>[7]Meetmed_maksumustega_2030!P98</f>
        <v>0</v>
      </c>
      <c r="D14" s="1069">
        <f>[7]Meetmed_maksumustega_2030!Q98</f>
        <v>32100</v>
      </c>
      <c r="E14" s="1069">
        <f>[7]Meetmed_maksumustega_2030!R98</f>
        <v>9700</v>
      </c>
      <c r="F14" s="1069">
        <f>[7]Meetmed_maksumustega_2030!S98</f>
        <v>0</v>
      </c>
      <c r="G14" s="1070">
        <f>[7]Meetmed_maksumustega_2030!U98</f>
        <v>0.5</v>
      </c>
      <c r="H14" s="1069">
        <f>[7]Meetmed_maksumustega_2030!V98</f>
        <v>0</v>
      </c>
      <c r="I14" s="1069">
        <f>[7]Meetmed_maksumustega_2030!W98</f>
        <v>16000</v>
      </c>
      <c r="J14" s="1069">
        <f>[7]Meetmed_maksumustega_2030!X98</f>
        <v>4900</v>
      </c>
      <c r="K14" s="1069">
        <f>[7]Meetmed_maksumustega_2030!Y98</f>
        <v>0</v>
      </c>
      <c r="L14" s="1070">
        <f>[7]Meetmed_maksumustega_2030!AA98</f>
        <v>1</v>
      </c>
      <c r="M14" s="1069">
        <f>[7]Meetmed_maksumustega_2030!AB98</f>
        <v>0</v>
      </c>
      <c r="N14" s="1069">
        <f>[7]Meetmed_maksumustega_2030!AC98</f>
        <v>32100</v>
      </c>
      <c r="O14" s="1069">
        <f>[7]Meetmed_maksumustega_2030!AD98</f>
        <v>9700</v>
      </c>
      <c r="P14" s="1069">
        <f>[7]Meetmed_maksumustega_2030!AE98</f>
        <v>0</v>
      </c>
    </row>
    <row r="15" spans="1:16">
      <c r="A15" s="1066">
        <f>[7]Meetmed_maksumustega_2030!A99</f>
        <v>11</v>
      </c>
      <c r="B15" s="1067" t="str">
        <f>[7]Meetmed_maksumustega_2030!B99</f>
        <v>Autode kooskasutus</v>
      </c>
      <c r="C15" s="1069">
        <f>[7]Meetmed_maksumustega_2030!P99</f>
        <v>100</v>
      </c>
      <c r="D15" s="1069">
        <f>[7]Meetmed_maksumustega_2030!Q99</f>
        <v>7300</v>
      </c>
      <c r="E15" s="1069">
        <f>[7]Meetmed_maksumustega_2030!R99</f>
        <v>2200</v>
      </c>
      <c r="F15" s="1069">
        <f>[7]Meetmed_maksumustega_2030!S99</f>
        <v>0</v>
      </c>
      <c r="G15" s="1070">
        <f>[7]Meetmed_maksumustega_2030!U99</f>
        <v>0.5</v>
      </c>
      <c r="H15" s="1069">
        <f>[7]Meetmed_maksumustega_2030!V99</f>
        <v>100</v>
      </c>
      <c r="I15" s="1069">
        <f>[7]Meetmed_maksumustega_2030!W99</f>
        <v>3700</v>
      </c>
      <c r="J15" s="1069">
        <f>[7]Meetmed_maksumustega_2030!X99</f>
        <v>1100</v>
      </c>
      <c r="K15" s="1069">
        <f>[7]Meetmed_maksumustega_2030!Y99</f>
        <v>0</v>
      </c>
      <c r="L15" s="1070">
        <f>[7]Meetmed_maksumustega_2030!AA99</f>
        <v>1</v>
      </c>
      <c r="M15" s="1069">
        <f>[7]Meetmed_maksumustega_2030!AB99</f>
        <v>100</v>
      </c>
      <c r="N15" s="1069">
        <f>[7]Meetmed_maksumustega_2030!AC99</f>
        <v>7300</v>
      </c>
      <c r="O15" s="1069">
        <f>[7]Meetmed_maksumustega_2030!AD99</f>
        <v>2200</v>
      </c>
      <c r="P15" s="1069">
        <f>[7]Meetmed_maksumustega_2030!AE99</f>
        <v>0</v>
      </c>
    </row>
    <row r="16" spans="1:16" ht="24">
      <c r="A16" s="1066">
        <f>[7]Meetmed_maksumustega_2030!A100</f>
        <v>12</v>
      </c>
      <c r="B16" s="1067" t="str">
        <f>[7]Meetmed_maksumustega_2030!B100</f>
        <v>Energiasäästlike autode soodustused</v>
      </c>
      <c r="C16" s="1069">
        <f>[7]Meetmed_maksumustega_2030!P100</f>
        <v>5600</v>
      </c>
      <c r="D16" s="1069">
        <f>[7]Meetmed_maksumustega_2030!Q100</f>
        <v>2500</v>
      </c>
      <c r="E16" s="1069">
        <f>[7]Meetmed_maksumustega_2030!R100</f>
        <v>700</v>
      </c>
      <c r="F16" s="1069">
        <f>[7]Meetmed_maksumustega_2030!S100</f>
        <v>0</v>
      </c>
      <c r="G16" s="1070">
        <f>[7]Meetmed_maksumustega_2030!U100</f>
        <v>0.5</v>
      </c>
      <c r="H16" s="1069">
        <f>[7]Meetmed_maksumustega_2030!V100</f>
        <v>2800</v>
      </c>
      <c r="I16" s="1069">
        <f>[7]Meetmed_maksumustega_2030!W100</f>
        <v>1200</v>
      </c>
      <c r="J16" s="1069">
        <f>[7]Meetmed_maksumustega_2030!X100</f>
        <v>400</v>
      </c>
      <c r="K16" s="1069">
        <f>[7]Meetmed_maksumustega_2030!Y100</f>
        <v>0</v>
      </c>
      <c r="L16" s="1070">
        <f>[7]Meetmed_maksumustega_2030!AA100</f>
        <v>0.1</v>
      </c>
      <c r="M16" s="1069">
        <f>[7]Meetmed_maksumustega_2030!AB100</f>
        <v>600</v>
      </c>
      <c r="N16" s="1069">
        <f>[7]Meetmed_maksumustega_2030!AC100</f>
        <v>200</v>
      </c>
      <c r="O16" s="1069">
        <f>[7]Meetmed_maksumustega_2030!AD100</f>
        <v>100</v>
      </c>
      <c r="P16" s="1069">
        <f>[7]Meetmed_maksumustega_2030!AE100</f>
        <v>0</v>
      </c>
    </row>
    <row r="17" spans="1:16" ht="24">
      <c r="A17" s="1066">
        <f>[7]Meetmed_maksumustega_2030!A101</f>
        <v>13</v>
      </c>
      <c r="B17" s="1067" t="str">
        <f>[7]Meetmed_maksumustega_2030!B101</f>
        <v>Energiaklassipõhine autode maksustamine</v>
      </c>
      <c r="C17" s="1069">
        <f>[7]Meetmed_maksumustega_2030!P101</f>
        <v>0</v>
      </c>
      <c r="D17" s="1069">
        <f>[7]Meetmed_maksumustega_2030!Q101</f>
        <v>64200</v>
      </c>
      <c r="E17" s="1069">
        <f>[7]Meetmed_maksumustega_2030!R101</f>
        <v>19400</v>
      </c>
      <c r="F17" s="1069">
        <f>[7]Meetmed_maksumustega_2030!S101</f>
        <v>70000</v>
      </c>
      <c r="G17" s="1070">
        <f>[7]Meetmed_maksumustega_2030!U101</f>
        <v>0.25</v>
      </c>
      <c r="H17" s="1069">
        <f>[7]Meetmed_maksumustega_2030!V101</f>
        <v>0</v>
      </c>
      <c r="I17" s="1069">
        <f>[7]Meetmed_maksumustega_2030!W101</f>
        <v>16000</v>
      </c>
      <c r="J17" s="1069">
        <f>[7]Meetmed_maksumustega_2030!X101</f>
        <v>4900</v>
      </c>
      <c r="K17" s="1069">
        <f>[7]Meetmed_maksumustega_2030!Y101</f>
        <v>17500</v>
      </c>
      <c r="L17" s="1070">
        <f>[7]Meetmed_maksumustega_2030!AA101</f>
        <v>0</v>
      </c>
      <c r="M17" s="1069">
        <f>[7]Meetmed_maksumustega_2030!AB101</f>
        <v>0</v>
      </c>
      <c r="N17" s="1069">
        <f>[7]Meetmed_maksumustega_2030!AC101</f>
        <v>0</v>
      </c>
      <c r="O17" s="1069">
        <f>[7]Meetmed_maksumustega_2030!AD101</f>
        <v>0</v>
      </c>
      <c r="P17" s="1069">
        <f>[7]Meetmed_maksumustega_2030!AE101</f>
        <v>0</v>
      </c>
    </row>
    <row r="18" spans="1:16">
      <c r="A18" s="1066">
        <f>[7]Meetmed_maksumustega_2030!A102</f>
        <v>14</v>
      </c>
      <c r="B18" s="1067" t="str">
        <f>[7]Meetmed_maksumustega_2030!B102</f>
        <v>Raudtee elektr.</v>
      </c>
      <c r="C18" s="1069">
        <f>[7]Meetmed_maksumustega_2030!P102</f>
        <v>6000</v>
      </c>
      <c r="D18" s="1069">
        <f>[7]Meetmed_maksumustega_2030!Q102</f>
        <v>10000</v>
      </c>
      <c r="E18" s="1069">
        <f>[7]Meetmed_maksumustega_2030!R102</f>
        <v>1200</v>
      </c>
      <c r="F18" s="1069">
        <f>[7]Meetmed_maksumustega_2030!S102</f>
        <v>0</v>
      </c>
      <c r="G18" s="1070">
        <f>[7]Meetmed_maksumustega_2030!U102</f>
        <v>0</v>
      </c>
      <c r="H18" s="1069">
        <f>[7]Meetmed_maksumustega_2030!V102</f>
        <v>0</v>
      </c>
      <c r="I18" s="1069">
        <f>[7]Meetmed_maksumustega_2030!W102</f>
        <v>0</v>
      </c>
      <c r="J18" s="1069">
        <f>[7]Meetmed_maksumustega_2030!X102</f>
        <v>0</v>
      </c>
      <c r="K18" s="1069">
        <f>[7]Meetmed_maksumustega_2030!Y102</f>
        <v>0</v>
      </c>
      <c r="L18" s="1070">
        <f>[7]Meetmed_maksumustega_2030!AA102</f>
        <v>1</v>
      </c>
      <c r="M18" s="1069">
        <f>[7]Meetmed_maksumustega_2030!AB102</f>
        <v>6000</v>
      </c>
      <c r="N18" s="1069">
        <f>[7]Meetmed_maksumustega_2030!AC102</f>
        <v>10000</v>
      </c>
      <c r="O18" s="1069">
        <f>[7]Meetmed_maksumustega_2030!AD102</f>
        <v>1200</v>
      </c>
      <c r="P18" s="1069">
        <f>[7]Meetmed_maksumustega_2030!AE102</f>
        <v>0</v>
      </c>
    </row>
    <row r="19" spans="1:16" ht="24">
      <c r="A19" s="1066">
        <f>[7]Meetmed_maksumustega_2030!A103</f>
        <v>15</v>
      </c>
      <c r="B19" s="1067" t="str">
        <f>[7]Meetmed_maksumustega_2030!B103</f>
        <v>Raudtee 160 kmh, Rail Baltic</v>
      </c>
      <c r="C19" s="1069">
        <f>[7]Meetmed_maksumustega_2030!P103</f>
        <v>29400</v>
      </c>
      <c r="D19" s="1069">
        <f>[7]Meetmed_maksumustega_2030!Q103</f>
        <v>25600</v>
      </c>
      <c r="E19" s="1069">
        <f>[7]Meetmed_maksumustega_2030!R103</f>
        <v>8200</v>
      </c>
      <c r="F19" s="1069">
        <f>[7]Meetmed_maksumustega_2030!S103</f>
        <v>0</v>
      </c>
      <c r="G19" s="1070">
        <f>[7]Meetmed_maksumustega_2030!U103</f>
        <v>1</v>
      </c>
      <c r="H19" s="1069">
        <f>[7]Meetmed_maksumustega_2030!V103</f>
        <v>29400</v>
      </c>
      <c r="I19" s="1069">
        <f>[7]Meetmed_maksumustega_2030!W103</f>
        <v>25600</v>
      </c>
      <c r="J19" s="1069">
        <f>[7]Meetmed_maksumustega_2030!X103</f>
        <v>8200</v>
      </c>
      <c r="K19" s="1069">
        <f>[7]Meetmed_maksumustega_2030!Y103</f>
        <v>0</v>
      </c>
      <c r="L19" s="1070">
        <f>[7]Meetmed_maksumustega_2030!AA103</f>
        <v>0.5</v>
      </c>
      <c r="M19" s="1069">
        <f>[7]Meetmed_maksumustega_2030!AB103</f>
        <v>14700</v>
      </c>
      <c r="N19" s="1069">
        <f>[7]Meetmed_maksumustega_2030!AC103</f>
        <v>12800</v>
      </c>
      <c r="O19" s="1069">
        <f>[7]Meetmed_maksumustega_2030!AD103</f>
        <v>4100</v>
      </c>
      <c r="P19" s="1069">
        <f>[7]Meetmed_maksumustega_2030!AE103</f>
        <v>0</v>
      </c>
    </row>
    <row r="20" spans="1:16">
      <c r="A20" s="1066">
        <f>[7]Meetmed_maksumustega_2030!A104</f>
        <v>16</v>
      </c>
      <c r="B20" s="1067" t="str">
        <f>[7]Meetmed_maksumustega_2030!B104</f>
        <v>Kütusesäästlikud bussid</v>
      </c>
      <c r="C20" s="1069">
        <f>[7]Meetmed_maksumustega_2030!P104</f>
        <v>3900</v>
      </c>
      <c r="D20" s="1069">
        <f>[7]Meetmed_maksumustega_2030!Q104</f>
        <v>600</v>
      </c>
      <c r="E20" s="1069">
        <f>[7]Meetmed_maksumustega_2030!R104</f>
        <v>200</v>
      </c>
      <c r="F20" s="1069">
        <f>[7]Meetmed_maksumustega_2030!S104</f>
        <v>0</v>
      </c>
      <c r="G20" s="1070">
        <f>[7]Meetmed_maksumustega_2030!U104</f>
        <v>1</v>
      </c>
      <c r="H20" s="1069">
        <f>[7]Meetmed_maksumustega_2030!V104</f>
        <v>3900</v>
      </c>
      <c r="I20" s="1069">
        <f>[7]Meetmed_maksumustega_2030!W104</f>
        <v>600</v>
      </c>
      <c r="J20" s="1069">
        <f>[7]Meetmed_maksumustega_2030!X104</f>
        <v>200</v>
      </c>
      <c r="K20" s="1069">
        <f>[7]Meetmed_maksumustega_2030!Y104</f>
        <v>0</v>
      </c>
      <c r="L20" s="1070">
        <f>[7]Meetmed_maksumustega_2030!AA104</f>
        <v>1</v>
      </c>
      <c r="M20" s="1069">
        <f>[7]Meetmed_maksumustega_2030!AB104</f>
        <v>3900</v>
      </c>
      <c r="N20" s="1069">
        <f>[7]Meetmed_maksumustega_2030!AC104</f>
        <v>600</v>
      </c>
      <c r="O20" s="1069">
        <f>[7]Meetmed_maksumustega_2030!AD104</f>
        <v>200</v>
      </c>
      <c r="P20" s="1069">
        <f>[7]Meetmed_maksumustega_2030!AE104</f>
        <v>0</v>
      </c>
    </row>
    <row r="21" spans="1:16" ht="24">
      <c r="A21" s="1066">
        <f>[7]Meetmed_maksumustega_2030!A105</f>
        <v>17</v>
      </c>
      <c r="B21" s="1067" t="str">
        <f>[7]Meetmed_maksumustega_2030!B105</f>
        <v>Kütusesäästlikud veoautod</v>
      </c>
      <c r="C21" s="1069">
        <f>[7]Meetmed_maksumustega_2030!P105</f>
        <v>7700</v>
      </c>
      <c r="D21" s="1069">
        <f>[7]Meetmed_maksumustega_2030!Q105</f>
        <v>19900</v>
      </c>
      <c r="E21" s="1069">
        <f>[7]Meetmed_maksumustega_2030!R105</f>
        <v>7700</v>
      </c>
      <c r="F21" s="1069">
        <f>[7]Meetmed_maksumustega_2030!S105</f>
        <v>0</v>
      </c>
      <c r="G21" s="1070">
        <f>[7]Meetmed_maksumustega_2030!U105</f>
        <v>0.5</v>
      </c>
      <c r="H21" s="1069">
        <f>[7]Meetmed_maksumustega_2030!V105</f>
        <v>3900</v>
      </c>
      <c r="I21" s="1069">
        <f>[7]Meetmed_maksumustega_2030!W105</f>
        <v>9900</v>
      </c>
      <c r="J21" s="1069">
        <f>[7]Meetmed_maksumustega_2030!X105</f>
        <v>3800</v>
      </c>
      <c r="K21" s="1069">
        <f>[7]Meetmed_maksumustega_2030!Y105</f>
        <v>0</v>
      </c>
      <c r="L21" s="1070">
        <f>[7]Meetmed_maksumustega_2030!AA105</f>
        <v>1</v>
      </c>
      <c r="M21" s="1069">
        <f>[7]Meetmed_maksumustega_2030!AB105</f>
        <v>7700</v>
      </c>
      <c r="N21" s="1069">
        <f>[7]Meetmed_maksumustega_2030!AC105</f>
        <v>19900</v>
      </c>
      <c r="O21" s="1069">
        <f>[7]Meetmed_maksumustega_2030!AD105</f>
        <v>7700</v>
      </c>
      <c r="P21" s="1069">
        <f>[7]Meetmed_maksumustega_2030!AE105</f>
        <v>0</v>
      </c>
    </row>
    <row r="22" spans="1:16">
      <c r="A22" s="1066">
        <f>[7]Meetmed_maksumustega_2030!A106</f>
        <v>18</v>
      </c>
      <c r="B22" s="1067" t="str">
        <f>[7]Meetmed_maksumustega_2030!B106</f>
        <v>Kütusesäästlikud vedurid</v>
      </c>
      <c r="C22" s="1069">
        <f>[7]Meetmed_maksumustega_2030!P106</f>
        <v>5800</v>
      </c>
      <c r="D22" s="1069">
        <f>[7]Meetmed_maksumustega_2030!Q106</f>
        <v>3300</v>
      </c>
      <c r="E22" s="1069">
        <f>[7]Meetmed_maksumustega_2030!R106</f>
        <v>500</v>
      </c>
      <c r="F22" s="1069">
        <f>[7]Meetmed_maksumustega_2030!S106</f>
        <v>0</v>
      </c>
      <c r="G22" s="1070">
        <f>[7]Meetmed_maksumustega_2030!U106</f>
        <v>0.3</v>
      </c>
      <c r="H22" s="1069">
        <f>[7]Meetmed_maksumustega_2030!V106</f>
        <v>1700</v>
      </c>
      <c r="I22" s="1069">
        <f>[7]Meetmed_maksumustega_2030!W106</f>
        <v>1000</v>
      </c>
      <c r="J22" s="1069">
        <f>[7]Meetmed_maksumustega_2030!X106</f>
        <v>100</v>
      </c>
      <c r="K22" s="1069">
        <f>[7]Meetmed_maksumustega_2030!Y106</f>
        <v>0</v>
      </c>
      <c r="L22" s="1070">
        <f>[7]Meetmed_maksumustega_2030!AA106</f>
        <v>0.5</v>
      </c>
      <c r="M22" s="1069">
        <f>[7]Meetmed_maksumustega_2030!AB106</f>
        <v>2900</v>
      </c>
      <c r="N22" s="1069">
        <f>[7]Meetmed_maksumustega_2030!AC106</f>
        <v>1700</v>
      </c>
      <c r="O22" s="1069">
        <f>[7]Meetmed_maksumustega_2030!AD106</f>
        <v>200</v>
      </c>
      <c r="P22" s="1069">
        <f>[7]Meetmed_maksumustega_2030!AE106</f>
        <v>0</v>
      </c>
    </row>
    <row r="23" spans="1:16" ht="24">
      <c r="A23" s="1066">
        <f>[7]Meetmed_maksumustega_2030!A107</f>
        <v>19</v>
      </c>
      <c r="B23" s="1067" t="str">
        <f>[7]Meetmed_maksumustega_2030!B107</f>
        <v>Säästva sõiduviisi rakendamine</v>
      </c>
      <c r="C23" s="1069">
        <f>[7]Meetmed_maksumustega_2030!P107</f>
        <v>100</v>
      </c>
      <c r="D23" s="1069">
        <f>[7]Meetmed_maksumustega_2030!Q107</f>
        <v>48500</v>
      </c>
      <c r="E23" s="1069">
        <f>[7]Meetmed_maksumustega_2030!R107</f>
        <v>9700</v>
      </c>
      <c r="F23" s="1069">
        <f>[7]Meetmed_maksumustega_2030!S107</f>
        <v>0</v>
      </c>
      <c r="G23" s="1070">
        <f>[7]Meetmed_maksumustega_2030!U107</f>
        <v>0.75</v>
      </c>
      <c r="H23" s="1069">
        <f>[7]Meetmed_maksumustega_2030!V107</f>
        <v>100</v>
      </c>
      <c r="I23" s="1069">
        <f>[7]Meetmed_maksumustega_2030!W107</f>
        <v>36400</v>
      </c>
      <c r="J23" s="1069">
        <f>[7]Meetmed_maksumustega_2030!X107</f>
        <v>7300</v>
      </c>
      <c r="K23" s="1069">
        <f>[7]Meetmed_maksumustega_2030!Y107</f>
        <v>0</v>
      </c>
      <c r="L23" s="1070">
        <f>[7]Meetmed_maksumustega_2030!AA107</f>
        <v>1</v>
      </c>
      <c r="M23" s="1069">
        <f>[7]Meetmed_maksumustega_2030!AB107</f>
        <v>100</v>
      </c>
      <c r="N23" s="1069">
        <f>[7]Meetmed_maksumustega_2030!AC107</f>
        <v>48500</v>
      </c>
      <c r="O23" s="1069">
        <f>[7]Meetmed_maksumustega_2030!AD107</f>
        <v>9700</v>
      </c>
      <c r="P23" s="1069">
        <f>[7]Meetmed_maksumustega_2030!AE107</f>
        <v>0</v>
      </c>
    </row>
    <row r="24" spans="1:16" hidden="1">
      <c r="A24" s="1066"/>
      <c r="B24" s="1071"/>
      <c r="C24" s="1072"/>
      <c r="D24" s="1072"/>
      <c r="E24" s="1072"/>
      <c r="F24" s="1072"/>
      <c r="G24" s="1073"/>
      <c r="H24" s="1069">
        <f>SUM(H4:H23)</f>
        <v>88600</v>
      </c>
      <c r="I24" s="1069">
        <f t="shared" ref="I24:P24" si="0">SUM(I4:I23)</f>
        <v>275300</v>
      </c>
      <c r="J24" s="1069">
        <f t="shared" si="0"/>
        <v>81600</v>
      </c>
      <c r="K24" s="1069">
        <f t="shared" si="0"/>
        <v>175900</v>
      </c>
      <c r="L24" s="1069">
        <f t="shared" si="0"/>
        <v>16.100000000000001</v>
      </c>
      <c r="M24" s="1069">
        <f t="shared" si="0"/>
        <v>145000</v>
      </c>
      <c r="N24" s="1069">
        <f t="shared" si="0"/>
        <v>646100</v>
      </c>
      <c r="O24" s="1069">
        <f t="shared" si="0"/>
        <v>193200</v>
      </c>
      <c r="P24" s="1069">
        <f t="shared" si="0"/>
        <v>334000</v>
      </c>
    </row>
    <row r="25" spans="1:16">
      <c r="A25" s="1066"/>
      <c r="B25" s="1074"/>
      <c r="C25" s="1075"/>
      <c r="D25" s="1075"/>
      <c r="E25" s="1075"/>
      <c r="F25" s="1075" t="s">
        <v>548</v>
      </c>
      <c r="G25" s="1075"/>
      <c r="H25" s="1069">
        <f t="shared" ref="H25:P25" si="1">ROUND(H24,-3)</f>
        <v>89000</v>
      </c>
      <c r="I25" s="1069">
        <f t="shared" si="1"/>
        <v>275000</v>
      </c>
      <c r="J25" s="1069">
        <f t="shared" si="1"/>
        <v>82000</v>
      </c>
      <c r="K25" s="1069">
        <f t="shared" si="1"/>
        <v>176000</v>
      </c>
      <c r="L25" s="1069">
        <f t="shared" si="1"/>
        <v>0</v>
      </c>
      <c r="M25" s="1069">
        <f t="shared" si="1"/>
        <v>145000</v>
      </c>
      <c r="N25" s="1069">
        <f t="shared" si="1"/>
        <v>646000</v>
      </c>
      <c r="O25" s="1069">
        <f t="shared" si="1"/>
        <v>193000</v>
      </c>
      <c r="P25" s="1069">
        <f t="shared" si="1"/>
        <v>334000</v>
      </c>
    </row>
  </sheetData>
  <mergeCells count="3">
    <mergeCell ref="B2:F2"/>
    <mergeCell ref="G2:K2"/>
    <mergeCell ref="L2:P2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AI100"/>
  <sheetViews>
    <sheetView topLeftCell="A18" workbookViewId="0">
      <pane xSplit="11" topLeftCell="Q1" activePane="topRight" state="frozen"/>
      <selection activeCell="S33" sqref="S33"/>
      <selection pane="topRight" activeCell="A60" sqref="A60:U60"/>
    </sheetView>
  </sheetViews>
  <sheetFormatPr defaultColWidth="8.7109375" defaultRowHeight="12.75"/>
  <cols>
    <col min="1" max="1" width="29.85546875" style="486" customWidth="1"/>
    <col min="2" max="2" width="12.28515625" style="486" hidden="1" customWidth="1"/>
    <col min="3" max="3" width="9.28515625" style="486" hidden="1" customWidth="1"/>
    <col min="4" max="4" width="8.42578125" style="486" hidden="1" customWidth="1"/>
    <col min="5" max="5" width="5.42578125" style="486" hidden="1" customWidth="1"/>
    <col min="6" max="6" width="10" style="486" hidden="1" customWidth="1"/>
    <col min="7" max="7" width="11.140625" style="486" hidden="1" customWidth="1"/>
    <col min="8" max="8" width="7.42578125" style="486" hidden="1" customWidth="1"/>
    <col min="9" max="9" width="20.7109375" style="486" hidden="1" customWidth="1"/>
    <col min="10" max="10" width="14.42578125" style="486" hidden="1" customWidth="1"/>
    <col min="11" max="11" width="5" style="486" hidden="1" customWidth="1"/>
    <col min="12" max="12" width="6.85546875" style="486" customWidth="1"/>
    <col min="13" max="13" width="9.140625" style="486" hidden="1" customWidth="1"/>
    <col min="14" max="14" width="8.7109375" style="486" customWidth="1"/>
    <col min="15" max="15" width="8.7109375" style="485"/>
    <col min="16" max="16" width="11" style="486" customWidth="1"/>
    <col min="17" max="17" width="12.85546875" style="486" customWidth="1"/>
    <col min="18" max="19" width="9" style="486" customWidth="1"/>
    <col min="20" max="20" width="11.85546875" style="486" customWidth="1"/>
    <col min="21" max="21" width="10.42578125" style="486" customWidth="1"/>
    <col min="22" max="22" width="8.7109375" style="485"/>
    <col min="23" max="24" width="8.7109375" style="486" customWidth="1"/>
    <col min="25" max="25" width="8.7109375" style="486"/>
    <col min="26" max="26" width="8.7109375" style="486" customWidth="1"/>
    <col min="27" max="27" width="8.7109375" style="486"/>
    <col min="28" max="28" width="10.140625" style="485" bestFit="1" customWidth="1"/>
    <col min="29" max="30" width="8.7109375" style="486" customWidth="1"/>
    <col min="31" max="31" width="8.7109375" style="486"/>
    <col min="32" max="32" width="0" style="486" hidden="1" customWidth="1"/>
    <col min="33" max="33" width="8.7109375" style="486"/>
    <col min="34" max="34" width="10.140625" style="486" bestFit="1" customWidth="1"/>
    <col min="35" max="35" width="8.85546875" style="486" bestFit="1" customWidth="1"/>
    <col min="36" max="16384" width="8.7109375" style="486"/>
  </cols>
  <sheetData>
    <row r="1" spans="1:35" s="485" customFormat="1" ht="29.25" customHeight="1" thickBot="1">
      <c r="A1" s="1124" t="s">
        <v>202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5"/>
      <c r="R1" s="1125"/>
      <c r="S1" s="1125"/>
      <c r="T1" s="1125"/>
    </row>
    <row r="2" spans="1:35" ht="16.5" thickBot="1">
      <c r="A2" s="1126" t="s">
        <v>203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U2" s="1127" t="s">
        <v>204</v>
      </c>
      <c r="V2" s="1128"/>
      <c r="W2" s="1128"/>
      <c r="X2" s="1128"/>
      <c r="Y2" s="1128"/>
      <c r="Z2" s="1129"/>
      <c r="AA2" s="1127" t="s">
        <v>205</v>
      </c>
      <c r="AB2" s="1128"/>
      <c r="AC2" s="1128"/>
      <c r="AD2" s="1128"/>
      <c r="AE2" s="1128"/>
      <c r="AF2" s="1129"/>
    </row>
    <row r="3" spans="1:35" ht="52.5" thickBot="1">
      <c r="A3" s="756"/>
      <c r="B3" s="757" t="s">
        <v>206</v>
      </c>
      <c r="C3" s="757" t="s">
        <v>207</v>
      </c>
      <c r="D3" s="757" t="s">
        <v>208</v>
      </c>
      <c r="E3" s="757" t="s">
        <v>209</v>
      </c>
      <c r="F3" s="757" t="s">
        <v>210</v>
      </c>
      <c r="G3" s="757" t="s">
        <v>211</v>
      </c>
      <c r="H3" s="757" t="s">
        <v>212</v>
      </c>
      <c r="I3" s="757" t="s">
        <v>213</v>
      </c>
      <c r="J3" s="757" t="s">
        <v>214</v>
      </c>
      <c r="K3" s="757" t="s">
        <v>215</v>
      </c>
      <c r="L3" s="758" t="s">
        <v>216</v>
      </c>
      <c r="M3" s="490"/>
      <c r="N3" s="491" t="s">
        <v>217</v>
      </c>
      <c r="O3" s="1130" t="s">
        <v>218</v>
      </c>
      <c r="P3" s="1131"/>
      <c r="Q3" s="1131"/>
      <c r="R3" s="488"/>
      <c r="S3" s="488"/>
      <c r="T3" s="488"/>
      <c r="U3" s="492" t="s">
        <v>219</v>
      </c>
      <c r="V3" s="1130" t="s">
        <v>220</v>
      </c>
      <c r="W3" s="1131"/>
      <c r="X3" s="1131"/>
      <c r="Y3" s="1132"/>
      <c r="Z3" s="493" t="s">
        <v>221</v>
      </c>
      <c r="AA3" s="492"/>
      <c r="AB3" s="1130" t="s">
        <v>222</v>
      </c>
      <c r="AC3" s="1131"/>
      <c r="AD3" s="1131"/>
      <c r="AE3" s="1132"/>
      <c r="AF3" s="493" t="s">
        <v>221</v>
      </c>
    </row>
    <row r="4" spans="1:35" ht="60.75" thickBot="1">
      <c r="A4" s="800" t="s">
        <v>223</v>
      </c>
      <c r="B4" s="797">
        <v>23643.38565682865</v>
      </c>
      <c r="C4" s="797">
        <v>3537.5846256478039</v>
      </c>
      <c r="D4" s="797">
        <v>9734.3225957999402</v>
      </c>
      <c r="E4" s="797">
        <v>1796.0851417595477</v>
      </c>
      <c r="F4" s="797">
        <v>269.72543245392637</v>
      </c>
      <c r="G4" s="797">
        <v>1324.4521055021412</v>
      </c>
      <c r="H4" s="797">
        <v>326.68338960135617</v>
      </c>
      <c r="I4" s="797"/>
      <c r="J4" s="797"/>
      <c r="K4" s="797">
        <v>350.75599999999997</v>
      </c>
      <c r="L4" s="801">
        <v>40982.994947593361</v>
      </c>
      <c r="M4" s="494"/>
      <c r="N4" s="495"/>
      <c r="O4" s="496" t="s">
        <v>224</v>
      </c>
      <c r="P4" s="497" t="s">
        <v>225</v>
      </c>
      <c r="Q4" s="498" t="s">
        <v>226</v>
      </c>
      <c r="R4" s="497" t="s">
        <v>227</v>
      </c>
      <c r="S4" s="499" t="s">
        <v>522</v>
      </c>
      <c r="T4" s="499" t="s">
        <v>228</v>
      </c>
      <c r="U4" s="500" t="s">
        <v>229</v>
      </c>
      <c r="V4" s="501" t="s">
        <v>224</v>
      </c>
      <c r="W4" s="502" t="s">
        <v>225</v>
      </c>
      <c r="X4" s="503" t="s">
        <v>226</v>
      </c>
      <c r="Y4" s="502" t="s">
        <v>227</v>
      </c>
      <c r="Z4" s="504" t="s">
        <v>229</v>
      </c>
      <c r="AA4" s="500" t="s">
        <v>230</v>
      </c>
      <c r="AB4" s="501" t="s">
        <v>224</v>
      </c>
      <c r="AC4" s="502" t="s">
        <v>225</v>
      </c>
      <c r="AD4" s="503" t="s">
        <v>226</v>
      </c>
      <c r="AE4" s="502" t="s">
        <v>227</v>
      </c>
      <c r="AF4" s="505" t="s">
        <v>230</v>
      </c>
    </row>
    <row r="5" spans="1:35" ht="15.75" hidden="1" thickBot="1">
      <c r="A5" s="799" t="s">
        <v>231</v>
      </c>
      <c r="B5" s="798">
        <v>3419.6182402275263</v>
      </c>
      <c r="C5" s="798"/>
      <c r="D5" s="798">
        <v>1382.7195239585544</v>
      </c>
      <c r="E5" s="798">
        <v>135.49666363795859</v>
      </c>
      <c r="F5" s="798">
        <v>-234.17147415281158</v>
      </c>
      <c r="G5" s="798">
        <v>68.976881803571132</v>
      </c>
      <c r="H5" s="798">
        <v>0</v>
      </c>
      <c r="I5" s="798"/>
      <c r="J5" s="798"/>
      <c r="K5" s="798">
        <v>0</v>
      </c>
      <c r="L5" s="802">
        <v>4772.6398354747989</v>
      </c>
      <c r="M5" s="506"/>
      <c r="N5" s="507">
        <f>L5*100/[8]Pehmed_meetmed!$M$3</f>
        <v>347.98151197254543</v>
      </c>
      <c r="O5" s="508"/>
      <c r="P5" s="509"/>
      <c r="Q5" s="509"/>
      <c r="R5" s="509"/>
      <c r="S5" s="510"/>
      <c r="T5" s="510"/>
      <c r="U5" s="511"/>
      <c r="V5" s="512"/>
      <c r="W5" s="513"/>
      <c r="X5" s="513"/>
      <c r="Y5" s="514"/>
      <c r="Z5" s="515"/>
      <c r="AA5" s="511"/>
      <c r="AB5" s="512"/>
      <c r="AC5" s="513"/>
      <c r="AD5" s="513"/>
      <c r="AE5" s="514"/>
      <c r="AF5" s="515"/>
    </row>
    <row r="6" spans="1:35" ht="15">
      <c r="A6" s="775" t="s">
        <v>232</v>
      </c>
      <c r="B6" s="759">
        <v>709.3015697048595</v>
      </c>
      <c r="C6" s="759">
        <v>106.12753876943411</v>
      </c>
      <c r="D6" s="759">
        <v>292.0296778739982</v>
      </c>
      <c r="E6" s="759">
        <v>53.882554252786427</v>
      </c>
      <c r="F6" s="759"/>
      <c r="G6" s="759"/>
      <c r="H6" s="759"/>
      <c r="I6" s="759">
        <v>-4803.9465224633886</v>
      </c>
      <c r="J6" s="759">
        <v>4803.9465224633886</v>
      </c>
      <c r="K6" s="759"/>
      <c r="L6" s="771">
        <v>1161.3413406010782</v>
      </c>
      <c r="M6" s="519"/>
      <c r="N6" s="520">
        <f>L6*100/$L$4</f>
        <v>2.833715159387773</v>
      </c>
      <c r="O6" s="521">
        <f>[8]Maksumus260913!D21</f>
        <v>120</v>
      </c>
      <c r="P6" s="522">
        <f>B6*[8]TJ_kytusehinnad!$B$39/1000+SUM(C6:E6)*[8]TJ_kytusehinnad!$B$47/1000</f>
        <v>41723.47201073898</v>
      </c>
      <c r="Q6" s="522">
        <f>B6*[8]TJ_kytusehinnad!$B$16/1000+SUM(C6:F6)*[8]TJ_kytusehinnad!$B$17/1000</f>
        <v>12905.704542989883</v>
      </c>
      <c r="R6" s="522"/>
      <c r="S6" s="556"/>
      <c r="T6" s="523">
        <f>(O6-P6-S6)/L6</f>
        <v>-35.823638198573192</v>
      </c>
      <c r="U6" s="524">
        <f>'[8]3 Koond_Sorteeritud_STSEN'!R10</f>
        <v>0.75</v>
      </c>
      <c r="V6" s="525">
        <f>$U$6*O6</f>
        <v>90</v>
      </c>
      <c r="W6" s="526">
        <f>$U$6*P6</f>
        <v>31292.604008054237</v>
      </c>
      <c r="X6" s="527">
        <f>$U$6*Q6</f>
        <v>9679.278407242411</v>
      </c>
      <c r="Y6" s="526">
        <f>$U$6*R6</f>
        <v>0</v>
      </c>
      <c r="Z6" s="528">
        <f>'[8]3 Koond_Sorteeritud_STSEN'!P10</f>
        <v>1028.6408195411566</v>
      </c>
      <c r="AA6" s="524">
        <f>'[8]3 Koond_Sorteeritud_STSEN'!S10</f>
        <v>1</v>
      </c>
      <c r="AB6" s="525">
        <f t="shared" ref="AB6:AE8" si="0">$AA6*O6</f>
        <v>120</v>
      </c>
      <c r="AC6" s="526">
        <f t="shared" si="0"/>
        <v>41723.47201073898</v>
      </c>
      <c r="AD6" s="527">
        <f t="shared" si="0"/>
        <v>12905.704542989883</v>
      </c>
      <c r="AE6" s="526">
        <f t="shared" si="0"/>
        <v>0</v>
      </c>
      <c r="AF6" s="528">
        <f>'[8]3 Koond_Sorteeritud_STSEN'!Q10</f>
        <v>1371.5210927215421</v>
      </c>
      <c r="AH6" s="925"/>
      <c r="AI6" s="927"/>
    </row>
    <row r="7" spans="1:35" ht="15">
      <c r="A7" s="795" t="s">
        <v>233</v>
      </c>
      <c r="B7" s="761">
        <v>827.51849798900287</v>
      </c>
      <c r="C7" s="761">
        <v>0</v>
      </c>
      <c r="D7" s="761">
        <v>0</v>
      </c>
      <c r="E7" s="761">
        <v>0</v>
      </c>
      <c r="F7" s="761"/>
      <c r="G7" s="761"/>
      <c r="H7" s="761"/>
      <c r="I7" s="761">
        <v>0</v>
      </c>
      <c r="J7" s="761">
        <v>0</v>
      </c>
      <c r="K7" s="761"/>
      <c r="L7" s="771">
        <v>827.51849798900287</v>
      </c>
      <c r="M7" s="519"/>
      <c r="N7" s="520">
        <f>L7*100/$L$4</f>
        <v>2.0191752678084773</v>
      </c>
      <c r="O7" s="521">
        <f>[8]Maksumus260913!D43</f>
        <v>310</v>
      </c>
      <c r="P7" s="522">
        <f>B7*[8]TJ_kytusehinnad!$B$39/1000+SUM(C7:E7)*[8]TJ_kytusehinnad!$B$47/1000</f>
        <v>31795.335788193577</v>
      </c>
      <c r="Q7" s="522">
        <f>B7*[8]TJ_kytusehinnad!$B$16/1000+SUM(C7:F7)*[8]TJ_kytusehinnad!$B$17/1000</f>
        <v>9632.5681974795898</v>
      </c>
      <c r="R7" s="522"/>
      <c r="S7" s="556"/>
      <c r="T7" s="523">
        <f>(O7-P7-S7)/L7</f>
        <v>-38.047893629819491</v>
      </c>
      <c r="U7" s="530">
        <f>'[8]3 Koond_Sorteeritud_STSEN'!R15</f>
        <v>0.5</v>
      </c>
      <c r="V7" s="525">
        <f>$U$7*O7</f>
        <v>155</v>
      </c>
      <c r="W7" s="526">
        <f>$U$7*P7</f>
        <v>15897.667894096789</v>
      </c>
      <c r="X7" s="527">
        <f>$U$7*Q7</f>
        <v>4816.2840987397949</v>
      </c>
      <c r="Y7" s="526">
        <f>$U$7*R7</f>
        <v>0</v>
      </c>
      <c r="Z7" s="531">
        <f>'[8]3 Koond_Sorteeritud_STSEN'!P15</f>
        <v>417.24674710514034</v>
      </c>
      <c r="AA7" s="530">
        <f>'[8]3 Koond_Sorteeritud_STSEN'!S15</f>
        <v>1</v>
      </c>
      <c r="AB7" s="525">
        <f t="shared" si="0"/>
        <v>310</v>
      </c>
      <c r="AC7" s="526">
        <f t="shared" si="0"/>
        <v>31795.335788193577</v>
      </c>
      <c r="AD7" s="527">
        <f t="shared" si="0"/>
        <v>9632.5681974795898</v>
      </c>
      <c r="AE7" s="526">
        <f t="shared" si="0"/>
        <v>0</v>
      </c>
      <c r="AF7" s="531">
        <f>'[8]3 Koond_Sorteeritud_STSEN'!Q15</f>
        <v>834.49349421028069</v>
      </c>
      <c r="AH7" s="925"/>
      <c r="AI7" s="927"/>
    </row>
    <row r="8" spans="1:35" ht="15">
      <c r="A8" s="775" t="s">
        <v>234</v>
      </c>
      <c r="B8" s="761">
        <v>236.4338565682865</v>
      </c>
      <c r="C8" s="761">
        <v>0</v>
      </c>
      <c r="D8" s="761">
        <v>0</v>
      </c>
      <c r="E8" s="761">
        <v>0</v>
      </c>
      <c r="F8" s="761"/>
      <c r="G8" s="761"/>
      <c r="H8" s="761"/>
      <c r="I8" s="761">
        <v>0</v>
      </c>
      <c r="J8" s="761">
        <v>0</v>
      </c>
      <c r="K8" s="761"/>
      <c r="L8" s="771">
        <v>236.4338565682865</v>
      </c>
      <c r="M8" s="519"/>
      <c r="N8" s="520">
        <f>L8*100/$L$4</f>
        <v>0.57690721937385048</v>
      </c>
      <c r="O8" s="521">
        <f>[8]Maksumus260913!D35/1000</f>
        <v>150</v>
      </c>
      <c r="P8" s="522">
        <f>B8*[8]TJ_kytusehinnad!$B$39/1000+SUM(C8:E8)*[8]TJ_kytusehinnad!$B$47/1000</f>
        <v>9084.3816537695911</v>
      </c>
      <c r="Q8" s="522">
        <f>B8*[8]TJ_kytusehinnad!$B$16/1000+SUM(C8:F8)*[8]TJ_kytusehinnad!$B$17/1000</f>
        <v>2752.162342137025</v>
      </c>
      <c r="R8" s="522"/>
      <c r="S8" s="556"/>
      <c r="T8" s="523">
        <f>(O8-P8-S8)/L8</f>
        <v>-37.788080706576707</v>
      </c>
      <c r="U8" s="530">
        <f>'[8]3 Koond_Sorteeritud_STSEN'!R22</f>
        <v>0.5</v>
      </c>
      <c r="V8" s="525">
        <f>$U$8*O8</f>
        <v>75</v>
      </c>
      <c r="W8" s="526">
        <f>$U$8*P8</f>
        <v>4542.1908268847956</v>
      </c>
      <c r="X8" s="527">
        <f>$U$8*Q8</f>
        <v>1376.0811710685125</v>
      </c>
      <c r="Y8" s="526">
        <f>$U$8*R8</f>
        <v>0</v>
      </c>
      <c r="Z8" s="531">
        <f>'[8]3 Koond_Sorteeritud_STSEN'!P22</f>
        <v>71.528013789452615</v>
      </c>
      <c r="AA8" s="530">
        <f>'[8]3 Koond_Sorteeritud_STSEN'!S22</f>
        <v>1</v>
      </c>
      <c r="AB8" s="525">
        <f t="shared" si="0"/>
        <v>150</v>
      </c>
      <c r="AC8" s="526">
        <f t="shared" si="0"/>
        <v>9084.3816537695911</v>
      </c>
      <c r="AD8" s="527">
        <f t="shared" si="0"/>
        <v>2752.162342137025</v>
      </c>
      <c r="AE8" s="526">
        <f t="shared" si="0"/>
        <v>0</v>
      </c>
      <c r="AF8" s="531">
        <f>'[8]3 Koond_Sorteeritud_STSEN'!Q22</f>
        <v>238.42671263150874</v>
      </c>
      <c r="AH8" s="925"/>
      <c r="AI8" s="927"/>
    </row>
    <row r="9" spans="1:35" ht="15" hidden="1">
      <c r="A9" s="765" t="s">
        <v>235</v>
      </c>
      <c r="B9" s="761">
        <v>196.41099618610201</v>
      </c>
      <c r="C9" s="761">
        <v>0</v>
      </c>
      <c r="D9" s="761">
        <v>0</v>
      </c>
      <c r="E9" s="761">
        <v>0</v>
      </c>
      <c r="F9" s="761"/>
      <c r="G9" s="761"/>
      <c r="H9" s="761"/>
      <c r="I9" s="761">
        <v>0</v>
      </c>
      <c r="J9" s="761">
        <v>0</v>
      </c>
      <c r="K9" s="761"/>
      <c r="L9" s="771">
        <v>196.41099618610201</v>
      </c>
      <c r="M9" s="519"/>
      <c r="N9" s="520">
        <f>L9*100/$L$4</f>
        <v>0.47924998267515789</v>
      </c>
      <c r="O9" s="521"/>
      <c r="P9" s="522"/>
      <c r="Q9" s="522"/>
      <c r="R9" s="522"/>
      <c r="S9" s="556"/>
      <c r="T9" s="523">
        <f>(O9-P9-S9)/L9</f>
        <v>0</v>
      </c>
      <c r="U9" s="530"/>
      <c r="V9" s="525"/>
      <c r="W9" s="526"/>
      <c r="X9" s="527"/>
      <c r="Y9" s="522"/>
      <c r="Z9" s="531"/>
      <c r="AA9" s="530"/>
      <c r="AB9" s="525"/>
      <c r="AC9" s="526"/>
      <c r="AD9" s="527"/>
      <c r="AE9" s="522"/>
      <c r="AF9" s="531"/>
      <c r="AH9" s="925"/>
      <c r="AI9" s="927"/>
    </row>
    <row r="10" spans="1:35" ht="15.75" thickBot="1">
      <c r="A10" s="796" t="s">
        <v>236</v>
      </c>
      <c r="B10" s="764">
        <v>189.14708525462922</v>
      </c>
      <c r="C10" s="764">
        <v>0</v>
      </c>
      <c r="D10" s="764">
        <v>0</v>
      </c>
      <c r="E10" s="764">
        <v>0</v>
      </c>
      <c r="F10" s="764"/>
      <c r="G10" s="764"/>
      <c r="H10" s="764"/>
      <c r="I10" s="764">
        <v>0</v>
      </c>
      <c r="J10" s="764">
        <v>0</v>
      </c>
      <c r="K10" s="764"/>
      <c r="L10" s="773">
        <v>189.14708525462922</v>
      </c>
      <c r="M10" s="536"/>
      <c r="N10" s="520">
        <f>L10*100/$L$4</f>
        <v>0.46152577549908042</v>
      </c>
      <c r="O10" s="521">
        <f>[8]Maksumus260913!D28/1000</f>
        <v>140</v>
      </c>
      <c r="P10" s="522">
        <f>B10*[8]TJ_kytusehinnad!$B$39/1000+SUM(C10:E10)*[8]TJ_kytusehinnad!$B$47/1000</f>
        <v>7267.5053230156745</v>
      </c>
      <c r="Q10" s="522">
        <f>B10*[8]TJ_kytusehinnad!$B$16/1000+SUM(C10:F10)*[8]TJ_kytusehinnad!$B$17/1000</f>
        <v>2201.7298737096203</v>
      </c>
      <c r="R10" s="522"/>
      <c r="S10" s="556"/>
      <c r="T10" s="523">
        <f>(O10-P10-S10)/L10</f>
        <v>-37.682342888977907</v>
      </c>
      <c r="U10" s="530">
        <f>'[8]3 Koond_Sorteeritud_STSEN'!R24</f>
        <v>0.5</v>
      </c>
      <c r="V10" s="525">
        <f>$U$10*O10</f>
        <v>70</v>
      </c>
      <c r="W10" s="526">
        <f>$U$10*P10</f>
        <v>3633.7526615078373</v>
      </c>
      <c r="X10" s="527">
        <f>$U$10*Q10</f>
        <v>1100.8649368548101</v>
      </c>
      <c r="Y10" s="526">
        <f>$U$10*R10</f>
        <v>0</v>
      </c>
      <c r="Z10" s="531">
        <f>'[8]3 Koond_Sorteeritud_STSEN'!P24</f>
        <v>95.370685052603505</v>
      </c>
      <c r="AA10" s="530">
        <f>'[8]3 Koond_Sorteeritud_STSEN'!S24</f>
        <v>1</v>
      </c>
      <c r="AB10" s="525">
        <f>$AA10*O10</f>
        <v>140</v>
      </c>
      <c r="AC10" s="526">
        <f>$AA10*P10</f>
        <v>7267.5053230156745</v>
      </c>
      <c r="AD10" s="527">
        <f>$AA10*Q10</f>
        <v>2201.7298737096203</v>
      </c>
      <c r="AE10" s="526">
        <f>$AA10*R10</f>
        <v>0</v>
      </c>
      <c r="AF10" s="531">
        <f>'[8]3 Koond_Sorteeritud_STSEN'!Q24</f>
        <v>190.74137010520701</v>
      </c>
      <c r="AH10" s="925"/>
      <c r="AI10" s="927"/>
    </row>
    <row r="11" spans="1:35" s="485" customFormat="1" ht="15.75" hidden="1" thickBot="1">
      <c r="A11" s="537" t="s">
        <v>237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9">
        <f>SUM(L6:L10)-L9</f>
        <v>2414.440780412996</v>
      </c>
      <c r="M11" s="540"/>
      <c r="N11" s="541"/>
      <c r="O11" s="541"/>
      <c r="P11" s="541"/>
      <c r="Q11" s="541"/>
      <c r="R11" s="542"/>
      <c r="S11" s="542"/>
      <c r="T11" s="542"/>
      <c r="U11" s="543"/>
      <c r="V11" s="525"/>
      <c r="W11" s="544"/>
      <c r="X11" s="545"/>
      <c r="Y11" s="521"/>
      <c r="Z11" s="546"/>
      <c r="AA11" s="543"/>
      <c r="AB11" s="525"/>
      <c r="AC11" s="544"/>
      <c r="AD11" s="545"/>
      <c r="AE11" s="521"/>
      <c r="AF11" s="546"/>
      <c r="AH11" s="926"/>
      <c r="AI11" s="927"/>
    </row>
    <row r="12" spans="1:35" ht="15" hidden="1" customHeight="1">
      <c r="M12" s="513"/>
      <c r="N12" s="547"/>
      <c r="O12" s="542"/>
      <c r="P12" s="548"/>
      <c r="Q12" s="548"/>
      <c r="R12" s="548"/>
      <c r="S12" s="548"/>
      <c r="T12" s="548"/>
      <c r="U12" s="549"/>
      <c r="V12" s="525"/>
      <c r="W12" s="526"/>
      <c r="X12" s="527"/>
      <c r="Y12" s="522"/>
      <c r="Z12" s="531"/>
      <c r="AA12" s="549"/>
      <c r="AB12" s="525">
        <f t="shared" ref="AB12:AE13" si="1">$AA12*O12</f>
        <v>0</v>
      </c>
      <c r="AC12" s="526">
        <f t="shared" si="1"/>
        <v>0</v>
      </c>
      <c r="AD12" s="527">
        <f t="shared" si="1"/>
        <v>0</v>
      </c>
      <c r="AE12" s="522">
        <f t="shared" si="1"/>
        <v>0</v>
      </c>
      <c r="AF12" s="531"/>
      <c r="AH12" s="925"/>
      <c r="AI12" s="927"/>
    </row>
    <row r="13" spans="1:35" ht="15" hidden="1" customHeight="1">
      <c r="M13" s="513"/>
      <c r="N13" s="547"/>
      <c r="O13" s="542"/>
      <c r="P13" s="548"/>
      <c r="Q13" s="548"/>
      <c r="R13" s="548"/>
      <c r="S13" s="548"/>
      <c r="T13" s="548"/>
      <c r="U13" s="549"/>
      <c r="V13" s="525"/>
      <c r="W13" s="526"/>
      <c r="X13" s="527"/>
      <c r="Y13" s="522"/>
      <c r="Z13" s="531"/>
      <c r="AA13" s="549"/>
      <c r="AB13" s="525">
        <f t="shared" si="1"/>
        <v>0</v>
      </c>
      <c r="AC13" s="526">
        <f t="shared" si="1"/>
        <v>0</v>
      </c>
      <c r="AD13" s="527">
        <f t="shared" si="1"/>
        <v>0</v>
      </c>
      <c r="AE13" s="522">
        <f t="shared" si="1"/>
        <v>0</v>
      </c>
      <c r="AF13" s="531"/>
      <c r="AH13" s="925"/>
      <c r="AI13" s="927"/>
    </row>
    <row r="14" spans="1:35" ht="15.75" hidden="1" customHeight="1" thickBot="1">
      <c r="A14" s="1126" t="s">
        <v>238</v>
      </c>
      <c r="B14" s="1126"/>
      <c r="C14" s="1126"/>
      <c r="D14" s="1126"/>
      <c r="E14" s="1126"/>
      <c r="F14" s="1126"/>
      <c r="G14" s="1126"/>
      <c r="H14" s="1126"/>
      <c r="I14" s="1126"/>
      <c r="J14" s="1126"/>
      <c r="K14" s="1126"/>
      <c r="L14" s="1126"/>
      <c r="M14" s="1126"/>
      <c r="N14" s="1126"/>
      <c r="O14" s="1135" t="s">
        <v>239</v>
      </c>
      <c r="P14" s="1136"/>
      <c r="Q14" s="1136"/>
      <c r="R14" s="1136"/>
      <c r="S14" s="1136"/>
      <c r="T14" s="1136"/>
      <c r="U14" s="549"/>
      <c r="V14" s="525"/>
      <c r="W14" s="526"/>
      <c r="X14" s="527"/>
      <c r="Y14" s="522"/>
      <c r="Z14" s="531"/>
      <c r="AA14" s="549"/>
      <c r="AB14" s="525">
        <v>0</v>
      </c>
      <c r="AC14" s="526">
        <f>$AA14*P14</f>
        <v>0</v>
      </c>
      <c r="AD14" s="527">
        <f>$AA14*Q14</f>
        <v>0</v>
      </c>
      <c r="AE14" s="522">
        <f>$AA14*R14</f>
        <v>0</v>
      </c>
      <c r="AF14" s="531"/>
      <c r="AH14" s="925"/>
      <c r="AI14" s="927"/>
    </row>
    <row r="15" spans="1:35" ht="45.75" hidden="1" thickBot="1">
      <c r="A15" s="756"/>
      <c r="B15" s="757" t="s">
        <v>206</v>
      </c>
      <c r="C15" s="757" t="s">
        <v>207</v>
      </c>
      <c r="D15" s="757" t="s">
        <v>208</v>
      </c>
      <c r="E15" s="757" t="s">
        <v>209</v>
      </c>
      <c r="F15" s="757" t="s">
        <v>210</v>
      </c>
      <c r="G15" s="757" t="s">
        <v>211</v>
      </c>
      <c r="H15" s="757" t="s">
        <v>212</v>
      </c>
      <c r="I15" s="757" t="s">
        <v>213</v>
      </c>
      <c r="J15" s="757" t="s">
        <v>214</v>
      </c>
      <c r="K15" s="757" t="s">
        <v>215</v>
      </c>
      <c r="L15" s="758" t="s">
        <v>216</v>
      </c>
      <c r="M15" s="490"/>
      <c r="N15" s="550" t="s">
        <v>217</v>
      </c>
      <c r="O15" s="551" t="s">
        <v>240</v>
      </c>
      <c r="P15" s="552" t="s">
        <v>225</v>
      </c>
      <c r="Q15" s="552" t="s">
        <v>226</v>
      </c>
      <c r="R15" s="552" t="s">
        <v>227</v>
      </c>
      <c r="S15" s="553"/>
      <c r="T15" s="553" t="s">
        <v>228</v>
      </c>
      <c r="U15" s="549"/>
      <c r="V15" s="525"/>
      <c r="W15" s="526"/>
      <c r="X15" s="527"/>
      <c r="Y15" s="554"/>
      <c r="Z15" s="531"/>
      <c r="AA15" s="549"/>
      <c r="AB15" s="525">
        <v>0</v>
      </c>
      <c r="AC15" s="526">
        <v>0</v>
      </c>
      <c r="AD15" s="527">
        <v>0</v>
      </c>
      <c r="AE15" s="554">
        <v>0</v>
      </c>
      <c r="AF15" s="531"/>
      <c r="AH15" s="925"/>
      <c r="AI15" s="927"/>
    </row>
    <row r="16" spans="1:35" ht="15" hidden="1">
      <c r="A16" s="780" t="s">
        <v>241</v>
      </c>
      <c r="B16" s="779">
        <v>23643.38565682865</v>
      </c>
      <c r="C16" s="779">
        <v>3537.5846256478039</v>
      </c>
      <c r="D16" s="779">
        <v>9734.3225957999402</v>
      </c>
      <c r="E16" s="779">
        <v>1796.0851417595477</v>
      </c>
      <c r="F16" s="779">
        <v>269.72543245392637</v>
      </c>
      <c r="G16" s="779">
        <v>1324.4521055021412</v>
      </c>
      <c r="H16" s="779">
        <v>326.68338960135617</v>
      </c>
      <c r="I16" s="779"/>
      <c r="J16" s="779"/>
      <c r="K16" s="779">
        <v>350.75599999999997</v>
      </c>
      <c r="L16" s="785">
        <v>40982.994947593361</v>
      </c>
      <c r="M16" s="494"/>
      <c r="N16" s="555"/>
      <c r="O16" s="521"/>
      <c r="P16" s="522"/>
      <c r="Q16" s="522"/>
      <c r="R16" s="522"/>
      <c r="S16" s="556"/>
      <c r="T16" s="556"/>
      <c r="U16" s="549"/>
      <c r="V16" s="525"/>
      <c r="W16" s="526"/>
      <c r="X16" s="527"/>
      <c r="Y16" s="522"/>
      <c r="Z16" s="531"/>
      <c r="AA16" s="549"/>
      <c r="AB16" s="525">
        <f t="shared" ref="AB16:AB25" si="2">$AA16*O16</f>
        <v>0</v>
      </c>
      <c r="AC16" s="526">
        <f t="shared" ref="AC16:AC25" si="3">$AA16*P16</f>
        <v>0</v>
      </c>
      <c r="AD16" s="527">
        <f t="shared" ref="AD16:AD25" si="4">$AA16*Q16</f>
        <v>0</v>
      </c>
      <c r="AE16" s="522">
        <f t="shared" ref="AE16:AE25" si="5">$AA16*R16</f>
        <v>0</v>
      </c>
      <c r="AF16" s="531"/>
      <c r="AH16" s="925"/>
      <c r="AI16" s="927"/>
    </row>
    <row r="17" spans="1:35" ht="15.75" hidden="1" thickBot="1">
      <c r="A17" s="769" t="s">
        <v>231</v>
      </c>
      <c r="B17" s="767">
        <v>3419.6182402275263</v>
      </c>
      <c r="C17" s="767"/>
      <c r="D17" s="767">
        <v>1382.7195239585544</v>
      </c>
      <c r="E17" s="767">
        <v>135.49666363795859</v>
      </c>
      <c r="F17" s="767">
        <v>-234.17147415281158</v>
      </c>
      <c r="G17" s="767">
        <v>68.976881803571132</v>
      </c>
      <c r="H17" s="767">
        <v>0</v>
      </c>
      <c r="I17" s="767"/>
      <c r="J17" s="767"/>
      <c r="K17" s="767">
        <v>0</v>
      </c>
      <c r="L17" s="770">
        <v>4772.6398354747989</v>
      </c>
      <c r="M17" s="506"/>
      <c r="N17" s="507">
        <f>L17*100/[8]Pehmed_meetmed!$M$3</f>
        <v>347.98151197254543</v>
      </c>
      <c r="O17" s="521"/>
      <c r="P17" s="522"/>
      <c r="Q17" s="522"/>
      <c r="R17" s="522"/>
      <c r="S17" s="556"/>
      <c r="T17" s="556"/>
      <c r="U17" s="549"/>
      <c r="V17" s="525"/>
      <c r="W17" s="526"/>
      <c r="X17" s="527"/>
      <c r="Y17" s="522"/>
      <c r="Z17" s="531"/>
      <c r="AA17" s="549"/>
      <c r="AB17" s="525">
        <f t="shared" si="2"/>
        <v>0</v>
      </c>
      <c r="AC17" s="526">
        <f t="shared" si="3"/>
        <v>0</v>
      </c>
      <c r="AD17" s="527">
        <f t="shared" si="4"/>
        <v>0</v>
      </c>
      <c r="AE17" s="522">
        <f t="shared" si="5"/>
        <v>0</v>
      </c>
      <c r="AF17" s="531"/>
      <c r="AH17" s="925"/>
      <c r="AI17" s="927"/>
    </row>
    <row r="18" spans="1:35" ht="15">
      <c r="A18" s="783" t="s">
        <v>242</v>
      </c>
      <c r="B18" s="759">
        <v>4728.67713136573</v>
      </c>
      <c r="C18" s="759">
        <v>247.63092379534629</v>
      </c>
      <c r="D18" s="759"/>
      <c r="E18" s="759">
        <v>-718.43405670381912</v>
      </c>
      <c r="F18" s="759"/>
      <c r="G18" s="759"/>
      <c r="H18" s="759"/>
      <c r="I18" s="759"/>
      <c r="J18" s="759"/>
      <c r="K18" s="759"/>
      <c r="L18" s="771">
        <v>4257.8739984572576</v>
      </c>
      <c r="M18" s="519"/>
      <c r="N18" s="520">
        <f t="shared" ref="N18:N25" si="6">L18*100/$L$4</f>
        <v>10.389367599664142</v>
      </c>
      <c r="O18" s="521">
        <v>50000</v>
      </c>
      <c r="P18" s="522">
        <f>B18*[8]TJ_kytusehinnad!$B$39/1000+SUM(C18:E18)*[8]TJ_kytusehinnad!$B$47/1000</f>
        <v>166616.66864326881</v>
      </c>
      <c r="Q18" s="522">
        <f>B18*[8]TJ_kytusehinnad!$B$16/1000+SUM(C18:F18)*[8]TJ_kytusehinnad!$B$17/1000</f>
        <v>50201.048626334486</v>
      </c>
      <c r="R18" s="522">
        <v>250000</v>
      </c>
      <c r="S18" s="556">
        <f>182000/10</f>
        <v>18200</v>
      </c>
      <c r="T18" s="523">
        <f t="shared" ref="T18:T37" si="7">(O18-P18-S18)/L18</f>
        <v>-31.662907049883703</v>
      </c>
      <c r="U18" s="530">
        <f>'[8]3 Koond_Sorteeritud_STSEN'!R5</f>
        <v>0</v>
      </c>
      <c r="V18" s="525">
        <f>$U$18*O18</f>
        <v>0</v>
      </c>
      <c r="W18" s="526">
        <f>$U$18*P18</f>
        <v>0</v>
      </c>
      <c r="X18" s="527">
        <f>$U$18*Q18</f>
        <v>0</v>
      </c>
      <c r="Y18" s="526">
        <f>$U$18*R18</f>
        <v>0</v>
      </c>
      <c r="Z18" s="531">
        <f>'[8]3 Koond_Sorteeritud_STSEN'!P5</f>
        <v>1435.318111294963</v>
      </c>
      <c r="AA18" s="530">
        <f>'[8]3 Koond_Sorteeritud_STSEN'!S5</f>
        <v>0</v>
      </c>
      <c r="AB18" s="525">
        <f t="shared" si="2"/>
        <v>0</v>
      </c>
      <c r="AC18" s="526">
        <f t="shared" si="3"/>
        <v>0</v>
      </c>
      <c r="AD18" s="527">
        <f t="shared" si="4"/>
        <v>0</v>
      </c>
      <c r="AE18" s="526">
        <f t="shared" si="5"/>
        <v>0</v>
      </c>
      <c r="AF18" s="531">
        <f>'[8]3 Koond_Sorteeritud_STSEN'!Q5</f>
        <v>4784.3937043165433</v>
      </c>
      <c r="AG18" s="711"/>
      <c r="AH18" s="925"/>
      <c r="AI18" s="927"/>
    </row>
    <row r="19" spans="1:35" ht="15">
      <c r="A19" s="789" t="s">
        <v>243</v>
      </c>
      <c r="B19" s="787">
        <v>1655.0369959780057</v>
      </c>
      <c r="C19" s="787">
        <v>0</v>
      </c>
      <c r="D19" s="787">
        <v>0</v>
      </c>
      <c r="E19" s="787">
        <v>0</v>
      </c>
      <c r="F19" s="787"/>
      <c r="G19" s="787"/>
      <c r="H19" s="787"/>
      <c r="I19" s="787"/>
      <c r="J19" s="787">
        <v>0</v>
      </c>
      <c r="K19" s="787"/>
      <c r="L19" s="793">
        <v>1655.0369959780057</v>
      </c>
      <c r="M19" s="519"/>
      <c r="N19" s="520">
        <f t="shared" si="6"/>
        <v>4.0383505356169547</v>
      </c>
      <c r="O19" s="521">
        <v>0</v>
      </c>
      <c r="P19" s="522">
        <f>B19*[8]TJ_kytusehinnad!$B$39/1000+SUM(C19:E19)*[8]TJ_kytusehinnad!$B$47/1000</f>
        <v>63590.671576387154</v>
      </c>
      <c r="Q19" s="522">
        <f>B19*[8]TJ_kytusehinnad!$B$16/1000+SUM(C19:F19)*[8]TJ_kytusehinnad!$B$17/1000</f>
        <v>19265.13639495918</v>
      </c>
      <c r="R19" s="522">
        <v>70000</v>
      </c>
      <c r="S19" s="556"/>
      <c r="T19" s="523">
        <f t="shared" si="7"/>
        <v>-38.422507612169554</v>
      </c>
      <c r="U19" s="530">
        <f>'[8]3 Koond_Sorteeritud_STSEN'!R7</f>
        <v>0.25</v>
      </c>
      <c r="V19" s="525">
        <f>$U$19*O19</f>
        <v>0</v>
      </c>
      <c r="W19" s="526">
        <f>$U$19*P19</f>
        <v>15897.667894096789</v>
      </c>
      <c r="X19" s="527">
        <f>$U$19*Q19</f>
        <v>4816.2840987397949</v>
      </c>
      <c r="Y19" s="526">
        <f>$U$19*R19</f>
        <v>17500</v>
      </c>
      <c r="Z19" s="531">
        <f>'[8]3 Koond_Sorteeritud_STSEN'!P7</f>
        <v>417.24674710514034</v>
      </c>
      <c r="AA19" s="530">
        <f>'[8]3 Koond_Sorteeritud_STSEN'!S7</f>
        <v>0.75</v>
      </c>
      <c r="AB19" s="525">
        <f t="shared" si="2"/>
        <v>0</v>
      </c>
      <c r="AC19" s="526">
        <f t="shared" si="3"/>
        <v>47693.003682290364</v>
      </c>
      <c r="AD19" s="527">
        <f t="shared" si="4"/>
        <v>14448.852296219386</v>
      </c>
      <c r="AE19" s="526">
        <f t="shared" si="5"/>
        <v>52500</v>
      </c>
      <c r="AF19" s="531">
        <f>'[8]3 Koond_Sorteeritud_STSEN'!Q7</f>
        <v>0</v>
      </c>
      <c r="AH19" s="925"/>
      <c r="AI19" s="927"/>
    </row>
    <row r="20" spans="1:35" ht="15">
      <c r="A20" s="790" t="s">
        <v>244</v>
      </c>
      <c r="B20" s="788">
        <v>1655.0369959780057</v>
      </c>
      <c r="C20" s="788"/>
      <c r="D20" s="788"/>
      <c r="E20" s="788"/>
      <c r="F20" s="788"/>
      <c r="G20" s="788"/>
      <c r="H20" s="788"/>
      <c r="I20" s="788">
        <v>0</v>
      </c>
      <c r="J20" s="788">
        <v>0</v>
      </c>
      <c r="K20" s="788"/>
      <c r="L20" s="794">
        <v>1655.0369959780057</v>
      </c>
      <c r="M20" s="519"/>
      <c r="N20" s="520">
        <f t="shared" si="6"/>
        <v>4.0383505356169547</v>
      </c>
      <c r="O20" s="521">
        <v>200</v>
      </c>
      <c r="P20" s="522">
        <f>B20*[8]TJ_kytusehinnad!$B$39/1000+SUM(C20:E20)*[8]TJ_kytusehinnad!$B$47/1000</f>
        <v>63590.671576387154</v>
      </c>
      <c r="Q20" s="522">
        <f>B20*[8]TJ_kytusehinnad!$B$16/1000+SUM(C20:F20)*[8]TJ_kytusehinnad!$B$17/1000</f>
        <v>19265.13639495918</v>
      </c>
      <c r="R20" s="522">
        <v>80000</v>
      </c>
      <c r="S20" s="556">
        <f>182000/10</f>
        <v>18200</v>
      </c>
      <c r="T20" s="523">
        <f t="shared" si="7"/>
        <v>-49.29839742233257</v>
      </c>
      <c r="U20" s="530">
        <f>'[8]3 Koond_Sorteeritud_STSEN'!R8</f>
        <v>0</v>
      </c>
      <c r="V20" s="525">
        <f>$U$20*O20</f>
        <v>0</v>
      </c>
      <c r="W20" s="526">
        <f>$U$20*P20</f>
        <v>0</v>
      </c>
      <c r="X20" s="527">
        <f>$U$20*Q20</f>
        <v>0</v>
      </c>
      <c r="Y20" s="526">
        <f>$U$20*R20</f>
        <v>0</v>
      </c>
      <c r="Z20" s="531">
        <f>'[8]3 Koond_Sorteeritud_STSEN'!P8</f>
        <v>0</v>
      </c>
      <c r="AA20" s="530">
        <f>'[8]3 Koond_Sorteeritud_STSEN'!S8</f>
        <v>0</v>
      </c>
      <c r="AB20" s="525">
        <f t="shared" si="2"/>
        <v>0</v>
      </c>
      <c r="AC20" s="526">
        <f t="shared" si="3"/>
        <v>0</v>
      </c>
      <c r="AD20" s="527">
        <f t="shared" si="4"/>
        <v>0</v>
      </c>
      <c r="AE20" s="526">
        <f t="shared" si="5"/>
        <v>0</v>
      </c>
      <c r="AF20" s="531">
        <f>'[8]3 Koond_Sorteeritud_STSEN'!Q8</f>
        <v>0</v>
      </c>
      <c r="AH20" s="925"/>
      <c r="AI20" s="927"/>
    </row>
    <row r="21" spans="1:35" ht="15">
      <c r="A21" s="791" t="s">
        <v>245</v>
      </c>
      <c r="B21" s="763">
        <v>1106.5104487395809</v>
      </c>
      <c r="C21" s="763"/>
      <c r="D21" s="763"/>
      <c r="E21" s="763"/>
      <c r="F21" s="763"/>
      <c r="G21" s="763"/>
      <c r="H21" s="763"/>
      <c r="I21" s="763">
        <v>-17559.557329287516</v>
      </c>
      <c r="J21" s="763">
        <v>17559.557329287516</v>
      </c>
      <c r="K21" s="763"/>
      <c r="L21" s="772">
        <v>1106.5104487395802</v>
      </c>
      <c r="M21" s="519"/>
      <c r="N21" s="520">
        <f t="shared" si="6"/>
        <v>2.6999257866696187</v>
      </c>
      <c r="O21" s="521">
        <v>2400</v>
      </c>
      <c r="P21" s="522">
        <f>B21*[8]TJ_kytusehinnad!$B$39/1000+SUM(C21:E21)*[8]TJ_kytusehinnad!$B$47/1000</f>
        <v>42514.906139641695</v>
      </c>
      <c r="Q21" s="522">
        <f>B21*[8]TJ_kytusehinnad!$B$16/1000+SUM(C21:F21)*[8]TJ_kytusehinnad!$B$17/1000</f>
        <v>12880.119761201277</v>
      </c>
      <c r="R21" s="522">
        <v>24000</v>
      </c>
      <c r="S21" s="556">
        <f>182000/10</f>
        <v>18200</v>
      </c>
      <c r="T21" s="523">
        <f t="shared" si="7"/>
        <v>-52.701631698162338</v>
      </c>
      <c r="U21" s="530">
        <f>'[8]3 Koond_Sorteeritud_STSEN'!R11</f>
        <v>0.1</v>
      </c>
      <c r="V21" s="525">
        <f>$U$21*O21</f>
        <v>240</v>
      </c>
      <c r="W21" s="526">
        <f>$U$21*P21</f>
        <v>4251.4906139641698</v>
      </c>
      <c r="X21" s="527">
        <f>$U$21*Q21</f>
        <v>1288.0119761201277</v>
      </c>
      <c r="Y21" s="526">
        <f>$U$21*R21</f>
        <v>2400</v>
      </c>
      <c r="Z21" s="531">
        <f>'[8]3 Koond_Sorteeritud_STSEN'!P11</f>
        <v>111.58370151154595</v>
      </c>
      <c r="AA21" s="530">
        <f>'[8]3 Koond_Sorteeritud_STSEN'!S11</f>
        <v>0.5</v>
      </c>
      <c r="AB21" s="525">
        <f t="shared" si="2"/>
        <v>1200</v>
      </c>
      <c r="AC21" s="526">
        <f t="shared" si="3"/>
        <v>21257.453069820847</v>
      </c>
      <c r="AD21" s="527">
        <f t="shared" si="4"/>
        <v>6440.0598806006383</v>
      </c>
      <c r="AE21" s="526">
        <f t="shared" si="5"/>
        <v>12000</v>
      </c>
      <c r="AF21" s="531">
        <f>'[8]3 Koond_Sorteeritud_STSEN'!Q11</f>
        <v>1115.8370151154595</v>
      </c>
      <c r="AH21" s="925"/>
      <c r="AI21" s="927"/>
    </row>
    <row r="22" spans="1:35" ht="15">
      <c r="A22" s="792" t="s">
        <v>246</v>
      </c>
      <c r="B22" s="763">
        <v>754.31584230751287</v>
      </c>
      <c r="C22" s="763">
        <v>115.75660602583929</v>
      </c>
      <c r="D22" s="763">
        <v>210.72112290481161</v>
      </c>
      <c r="E22" s="763"/>
      <c r="F22" s="763"/>
      <c r="G22" s="763"/>
      <c r="H22" s="763"/>
      <c r="I22" s="763">
        <v>-5568.124187758327</v>
      </c>
      <c r="J22" s="763">
        <v>5568.124187758327</v>
      </c>
      <c r="K22" s="763"/>
      <c r="L22" s="772">
        <v>1080.7935712381641</v>
      </c>
      <c r="M22" s="519"/>
      <c r="N22" s="520">
        <f t="shared" si="6"/>
        <v>2.6371756691286699</v>
      </c>
      <c r="O22" s="521">
        <v>13000</v>
      </c>
      <c r="P22" s="522">
        <f>B22*[8]TJ_kytusehinnad!$B$39/1000+SUM(C22:E22)*[8]TJ_kytusehinnad!$B$47/1000</f>
        <v>39433.643955917898</v>
      </c>
      <c r="Q22" s="522">
        <f>B22*[8]TJ_kytusehinnad!$B$16/1000+SUM(C22:F22)*[8]TJ_kytusehinnad!$B$17/1000</f>
        <v>12138.282032206604</v>
      </c>
      <c r="R22" s="522">
        <v>73000</v>
      </c>
      <c r="S22" s="556">
        <f>182000/10</f>
        <v>18200</v>
      </c>
      <c r="T22" s="523">
        <f t="shared" si="7"/>
        <v>-41.297103483679415</v>
      </c>
      <c r="U22" s="530">
        <f>'[8]3 Koond_Sorteeritud_STSEN'!R12</f>
        <v>0</v>
      </c>
      <c r="V22" s="525">
        <f>$U$22*O22</f>
        <v>0</v>
      </c>
      <c r="W22" s="526">
        <f>$U$22*P22</f>
        <v>0</v>
      </c>
      <c r="X22" s="527">
        <f>$U$22*Q22</f>
        <v>0</v>
      </c>
      <c r="Y22" s="526">
        <f>$U$22*R22</f>
        <v>0</v>
      </c>
      <c r="Z22" s="531">
        <f>'[8]3 Koond_Sorteeritud_STSEN'!P12</f>
        <v>0</v>
      </c>
      <c r="AA22" s="530">
        <f>'[8]3 Koond_Sorteeritud_STSEN'!S12</f>
        <v>1</v>
      </c>
      <c r="AB22" s="525">
        <f t="shared" si="2"/>
        <v>13000</v>
      </c>
      <c r="AC22" s="526">
        <f t="shared" si="3"/>
        <v>39433.643955917898</v>
      </c>
      <c r="AD22" s="527">
        <f t="shared" si="4"/>
        <v>12138.282032206604</v>
      </c>
      <c r="AE22" s="526">
        <f t="shared" si="5"/>
        <v>73000</v>
      </c>
      <c r="AF22" s="531">
        <f>'[8]3 Koond_Sorteeritud_STSEN'!Q12</f>
        <v>1280.5725261666421</v>
      </c>
      <c r="AG22" s="712"/>
      <c r="AH22" s="925"/>
      <c r="AI22" s="927"/>
    </row>
    <row r="23" spans="1:35" ht="15">
      <c r="A23" s="792" t="s">
        <v>247</v>
      </c>
      <c r="B23" s="759">
        <v>591.08464142071625</v>
      </c>
      <c r="C23" s="759">
        <v>88.439615641195104</v>
      </c>
      <c r="D23" s="759">
        <v>243.35806489499851</v>
      </c>
      <c r="E23" s="759">
        <v>44.902128543988695</v>
      </c>
      <c r="F23" s="759"/>
      <c r="G23" s="759"/>
      <c r="H23" s="759"/>
      <c r="I23" s="759">
        <v>-4003.2887687194916</v>
      </c>
      <c r="J23" s="759">
        <v>4003.2887687194916</v>
      </c>
      <c r="K23" s="759"/>
      <c r="L23" s="771">
        <v>967.78445050089886</v>
      </c>
      <c r="M23" s="571"/>
      <c r="N23" s="520">
        <f t="shared" si="6"/>
        <v>2.3614292994898118</v>
      </c>
      <c r="O23" s="521"/>
      <c r="P23" s="522">
        <f>B23*[8]TJ_kytusehinnad!$B$39/1000+SUM(C23:E23)*[8]TJ_kytusehinnad!$B$47/1000</f>
        <v>34769.560008949149</v>
      </c>
      <c r="Q23" s="522">
        <f>B23*[8]TJ_kytusehinnad!$B$16/1000+SUM(C23:F23)*[8]TJ_kytusehinnad!$B$17/1000</f>
        <v>10754.753785824902</v>
      </c>
      <c r="R23" s="522">
        <v>70000</v>
      </c>
      <c r="S23" s="556">
        <f>182000/10</f>
        <v>18200</v>
      </c>
      <c r="T23" s="523">
        <f t="shared" si="7"/>
        <v>-54.732807477464171</v>
      </c>
      <c r="U23" s="530">
        <f>'[8]3 Koond_Sorteeritud_STSEN'!R13</f>
        <v>0.5</v>
      </c>
      <c r="V23" s="525">
        <f>$U$23*O23</f>
        <v>0</v>
      </c>
      <c r="W23" s="526">
        <f>$U$23*P23</f>
        <v>17384.780004474575</v>
      </c>
      <c r="X23" s="527">
        <f>$U$23*Q23</f>
        <v>5377.3768929124508</v>
      </c>
      <c r="Y23" s="526">
        <f>$U$23*R23</f>
        <v>35000</v>
      </c>
      <c r="Z23" s="531">
        <f>'[8]3 Koond_Sorteeritud_STSEN'!P13</f>
        <v>342.88027318038547</v>
      </c>
      <c r="AA23" s="530">
        <f>'[8]3 Koond_Sorteeritud_STSEN'!S13</f>
        <v>0</v>
      </c>
      <c r="AB23" s="525">
        <f t="shared" si="2"/>
        <v>0</v>
      </c>
      <c r="AC23" s="526">
        <f t="shared" si="3"/>
        <v>0</v>
      </c>
      <c r="AD23" s="527">
        <f t="shared" si="4"/>
        <v>0</v>
      </c>
      <c r="AE23" s="526">
        <f t="shared" si="5"/>
        <v>0</v>
      </c>
      <c r="AF23" s="531">
        <f>'[8]3 Koond_Sorteeritud_STSEN'!Q13</f>
        <v>0</v>
      </c>
      <c r="AH23" s="925"/>
      <c r="AI23" s="927"/>
    </row>
    <row r="24" spans="1:35" ht="15.75" thickBot="1">
      <c r="A24" s="792" t="s">
        <v>248</v>
      </c>
      <c r="B24" s="763"/>
      <c r="C24" s="763"/>
      <c r="D24" s="763">
        <v>292.0296778739982</v>
      </c>
      <c r="E24" s="763"/>
      <c r="F24" s="763"/>
      <c r="G24" s="763"/>
      <c r="H24" s="763"/>
      <c r="I24" s="763">
        <v>0</v>
      </c>
      <c r="J24" s="763">
        <v>0</v>
      </c>
      <c r="K24" s="763"/>
      <c r="L24" s="772">
        <v>292.0296778739982</v>
      </c>
      <c r="M24" s="536"/>
      <c r="N24" s="520">
        <f t="shared" si="6"/>
        <v>0.71256304778952473</v>
      </c>
      <c r="O24" s="521">
        <v>12000</v>
      </c>
      <c r="P24" s="522">
        <f>B24*[8]TJ_kytusehinnad!$B$39/1000+SUM(C24:E24)*[8]TJ_kytusehinnad!$B$47/1000</f>
        <v>9348.2149559505779</v>
      </c>
      <c r="Q24" s="522">
        <f>B24*[8]TJ_kytusehinnad!$B$16/1000+SUM(C24:F24)*[8]TJ_kytusehinnad!$B$17/1000</f>
        <v>3003.5177901290635</v>
      </c>
      <c r="R24" s="522">
        <v>60000</v>
      </c>
      <c r="S24" s="556"/>
      <c r="T24" s="523">
        <f t="shared" si="7"/>
        <v>9.0805327162453189</v>
      </c>
      <c r="U24" s="530">
        <f>'[8]3 Koond_Sorteeritud_STSEN'!R21</f>
        <v>0.75</v>
      </c>
      <c r="V24" s="525">
        <f>$U$24*O24</f>
        <v>9000</v>
      </c>
      <c r="W24" s="526">
        <f>$U$24*P24</f>
        <v>7011.1612169629334</v>
      </c>
      <c r="X24" s="527">
        <f>$U$24*Q24</f>
        <v>2252.6383425967979</v>
      </c>
      <c r="Y24" s="526">
        <f>$U$24*R24</f>
        <v>45000</v>
      </c>
      <c r="Z24" s="531">
        <f>'[8]3 Koond_Sorteeritud_STSEN'!P21</f>
        <v>437.2458808479289</v>
      </c>
      <c r="AA24" s="530">
        <f>'[8]3 Koond_Sorteeritud_STSEN'!S21</f>
        <v>1</v>
      </c>
      <c r="AB24" s="525">
        <f t="shared" si="2"/>
        <v>12000</v>
      </c>
      <c r="AC24" s="526">
        <f t="shared" si="3"/>
        <v>9348.2149559505779</v>
      </c>
      <c r="AD24" s="527">
        <f t="shared" si="4"/>
        <v>3003.5177901290635</v>
      </c>
      <c r="AE24" s="526">
        <f t="shared" si="5"/>
        <v>60000</v>
      </c>
      <c r="AF24" s="531">
        <f>'[8]3 Koond_Sorteeritud_STSEN'!Q21</f>
        <v>437.2458808479289</v>
      </c>
      <c r="AG24" s="712"/>
      <c r="AH24" s="925"/>
      <c r="AI24" s="927"/>
    </row>
    <row r="25" spans="1:35" ht="15.75" thickBot="1">
      <c r="A25" s="762" t="s">
        <v>249</v>
      </c>
      <c r="B25" s="764">
        <v>64.186751984303385</v>
      </c>
      <c r="C25" s="764"/>
      <c r="D25" s="764"/>
      <c r="E25" s="764"/>
      <c r="F25" s="764"/>
      <c r="G25" s="764"/>
      <c r="H25" s="764"/>
      <c r="I25" s="764">
        <v>4793.6932174222811</v>
      </c>
      <c r="J25" s="764">
        <v>-4793.6932174222811</v>
      </c>
      <c r="K25" s="764"/>
      <c r="L25" s="773">
        <v>64.186751984303555</v>
      </c>
      <c r="M25" s="536"/>
      <c r="N25" s="520">
        <f t="shared" si="6"/>
        <v>0.15661801209594806</v>
      </c>
      <c r="O25" s="521">
        <f>'[8]Maksumus_Raudtee jt meetmed'!B53</f>
        <v>5609.9076923076918</v>
      </c>
      <c r="P25" s="522">
        <f>B25*[8]TJ_kytusehinnad!$B$39/1000+SUM(C25:E25)*[8]TJ_kytusehinnad!$B$47/1000</f>
        <v>2466.215966717336</v>
      </c>
      <c r="Q25" s="522">
        <f>B25*[8]TJ_kytusehinnad!$B$16/1000+SUM(C25:F25)*[8]TJ_kytusehinnad!$B$17/1000</f>
        <v>747.15340788880735</v>
      </c>
      <c r="R25" s="522"/>
      <c r="S25" s="556"/>
      <c r="T25" s="523">
        <f t="shared" si="7"/>
        <v>48.977267557628167</v>
      </c>
      <c r="U25" s="530">
        <f>'[8]3 Koond_Sorteeritud_STSEN'!R27</f>
        <v>0.5</v>
      </c>
      <c r="V25" s="525">
        <f>$U$25*O25</f>
        <v>2804.9538461538459</v>
      </c>
      <c r="W25" s="526">
        <f>$U$25*P25</f>
        <v>1233.107983358668</v>
      </c>
      <c r="X25" s="527">
        <f>$U$25*Q25</f>
        <v>373.57670394440368</v>
      </c>
      <c r="Y25" s="526">
        <f>$U$25*R25</f>
        <v>0</v>
      </c>
      <c r="Z25" s="531">
        <f>'[8]3 Koond_Sorteeritud_STSEN'!P27</f>
        <v>174.70067999999992</v>
      </c>
      <c r="AA25" s="530">
        <f>'[8]3 Koond_Sorteeritud_STSEN'!S27</f>
        <v>0.1</v>
      </c>
      <c r="AB25" s="525">
        <f t="shared" si="2"/>
        <v>560.99076923076916</v>
      </c>
      <c r="AC25" s="526">
        <f t="shared" si="3"/>
        <v>246.62159667173361</v>
      </c>
      <c r="AD25" s="527">
        <f t="shared" si="4"/>
        <v>74.715340788880738</v>
      </c>
      <c r="AE25" s="526">
        <f t="shared" si="5"/>
        <v>0</v>
      </c>
      <c r="AF25" s="531">
        <f>'[8]3 Koond_Sorteeritud_STSEN'!Q27</f>
        <v>34.940135999999988</v>
      </c>
      <c r="AH25" s="925"/>
      <c r="AI25" s="927"/>
    </row>
    <row r="26" spans="1:35" s="485" customFormat="1" ht="15.75" hidden="1" thickBot="1">
      <c r="A26" s="573" t="s">
        <v>250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74">
        <f>SUM(L18:L25)</f>
        <v>11079.252890750213</v>
      </c>
      <c r="M26" s="540"/>
      <c r="N26" s="575">
        <f>L26*100/[8]Pehmed_meetmed!$M$3</f>
        <v>807.80769246248963</v>
      </c>
      <c r="O26" s="542"/>
      <c r="P26" s="542"/>
      <c r="Q26" s="542"/>
      <c r="R26" s="542"/>
      <c r="S26" s="486"/>
      <c r="T26" s="523">
        <f t="shared" si="7"/>
        <v>0</v>
      </c>
      <c r="U26" s="543"/>
      <c r="V26" s="525"/>
      <c r="W26" s="544"/>
      <c r="X26" s="545"/>
      <c r="Y26" s="521"/>
      <c r="Z26" s="546"/>
      <c r="AA26" s="543"/>
      <c r="AB26" s="525"/>
      <c r="AC26" s="544"/>
      <c r="AD26" s="545"/>
      <c r="AE26" s="521"/>
      <c r="AF26" s="546"/>
      <c r="AH26" s="926"/>
      <c r="AI26" s="927"/>
    </row>
    <row r="27" spans="1:35" ht="15" hidden="1" customHeight="1">
      <c r="N27" s="547"/>
      <c r="O27" s="542"/>
      <c r="P27" s="548"/>
      <c r="Q27" s="548"/>
      <c r="R27" s="548"/>
      <c r="S27" s="1018"/>
      <c r="T27" s="523" t="e">
        <f t="shared" si="7"/>
        <v>#DIV/0!</v>
      </c>
      <c r="U27" s="549"/>
      <c r="V27" s="525"/>
      <c r="W27" s="526"/>
      <c r="X27" s="527"/>
      <c r="Y27" s="522"/>
      <c r="Z27" s="531"/>
      <c r="AA27" s="549"/>
      <c r="AB27" s="525"/>
      <c r="AC27" s="526"/>
      <c r="AD27" s="527"/>
      <c r="AE27" s="522"/>
      <c r="AF27" s="531"/>
      <c r="AH27" s="925"/>
      <c r="AI27" s="927"/>
    </row>
    <row r="28" spans="1:35" ht="15.75" hidden="1" customHeight="1">
      <c r="A28" s="1126" t="s">
        <v>251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542"/>
      <c r="P28" s="548"/>
      <c r="Q28" s="548"/>
      <c r="R28" s="548"/>
      <c r="S28" s="548"/>
      <c r="T28" s="523" t="e">
        <f t="shared" si="7"/>
        <v>#DIV/0!</v>
      </c>
      <c r="U28" s="549"/>
      <c r="V28" s="525"/>
      <c r="W28" s="526"/>
      <c r="X28" s="527"/>
      <c r="Y28" s="522"/>
      <c r="Z28" s="531"/>
      <c r="AA28" s="549"/>
      <c r="AB28" s="525"/>
      <c r="AC28" s="526"/>
      <c r="AD28" s="527"/>
      <c r="AE28" s="522"/>
      <c r="AF28" s="531"/>
      <c r="AH28" s="925"/>
      <c r="AI28" s="927"/>
    </row>
    <row r="29" spans="1:35" ht="45.75" hidden="1" thickBot="1">
      <c r="A29" s="756"/>
      <c r="B29" s="757" t="s">
        <v>206</v>
      </c>
      <c r="C29" s="757" t="s">
        <v>207</v>
      </c>
      <c r="D29" s="757" t="s">
        <v>208</v>
      </c>
      <c r="E29" s="757" t="s">
        <v>209</v>
      </c>
      <c r="F29" s="757" t="s">
        <v>210</v>
      </c>
      <c r="G29" s="757" t="s">
        <v>211</v>
      </c>
      <c r="H29" s="757" t="s">
        <v>212</v>
      </c>
      <c r="I29" s="757" t="s">
        <v>213</v>
      </c>
      <c r="J29" s="757" t="s">
        <v>214</v>
      </c>
      <c r="K29" s="757" t="s">
        <v>215</v>
      </c>
      <c r="L29" s="758" t="s">
        <v>216</v>
      </c>
      <c r="M29" s="576"/>
      <c r="N29" s="550" t="s">
        <v>217</v>
      </c>
      <c r="O29" s="551" t="s">
        <v>224</v>
      </c>
      <c r="P29" s="552" t="s">
        <v>225</v>
      </c>
      <c r="Q29" s="552" t="s">
        <v>226</v>
      </c>
      <c r="R29" s="552" t="s">
        <v>227</v>
      </c>
      <c r="S29" s="548"/>
      <c r="T29" s="523" t="e">
        <f t="shared" si="7"/>
        <v>#VALUE!</v>
      </c>
      <c r="U29" s="549"/>
      <c r="V29" s="525"/>
      <c r="W29" s="526"/>
      <c r="X29" s="527"/>
      <c r="Y29" s="554"/>
      <c r="Z29" s="531"/>
      <c r="AA29" s="549"/>
      <c r="AB29" s="525"/>
      <c r="AC29" s="526"/>
      <c r="AD29" s="527"/>
      <c r="AE29" s="554"/>
      <c r="AF29" s="531"/>
      <c r="AH29" s="925"/>
      <c r="AI29" s="927"/>
    </row>
    <row r="30" spans="1:35" ht="15" hidden="1">
      <c r="A30" s="782" t="s">
        <v>241</v>
      </c>
      <c r="B30" s="779">
        <v>23643.38565682865</v>
      </c>
      <c r="C30" s="779">
        <v>3537.5846256478039</v>
      </c>
      <c r="D30" s="779">
        <v>9734.3225957999402</v>
      </c>
      <c r="E30" s="779">
        <v>1796.0851417595477</v>
      </c>
      <c r="F30" s="779">
        <v>269.72543245392637</v>
      </c>
      <c r="G30" s="779">
        <v>1324.4521055021412</v>
      </c>
      <c r="H30" s="779">
        <v>326.68338960135617</v>
      </c>
      <c r="I30" s="779"/>
      <c r="J30" s="779"/>
      <c r="K30" s="779">
        <v>350.75599999999997</v>
      </c>
      <c r="L30" s="785">
        <v>40982.994947593361</v>
      </c>
      <c r="M30" s="494"/>
      <c r="N30" s="555"/>
      <c r="O30" s="521"/>
      <c r="P30" s="522"/>
      <c r="Q30" s="522"/>
      <c r="R30" s="522"/>
      <c r="S30" s="553"/>
      <c r="T30" s="523">
        <f t="shared" si="7"/>
        <v>0</v>
      </c>
      <c r="U30" s="549"/>
      <c r="V30" s="525"/>
      <c r="W30" s="526"/>
      <c r="X30" s="527"/>
      <c r="Y30" s="522"/>
      <c r="Z30" s="531"/>
      <c r="AA30" s="549"/>
      <c r="AB30" s="525"/>
      <c r="AC30" s="526"/>
      <c r="AD30" s="527"/>
      <c r="AE30" s="522"/>
      <c r="AF30" s="531"/>
      <c r="AH30" s="925"/>
      <c r="AI30" s="927"/>
    </row>
    <row r="31" spans="1:35" ht="15.75" hidden="1" thickBot="1">
      <c r="A31" s="781" t="s">
        <v>231</v>
      </c>
      <c r="B31" s="767">
        <v>3419.6182402275263</v>
      </c>
      <c r="C31" s="767"/>
      <c r="D31" s="767">
        <v>1382.7195239585544</v>
      </c>
      <c r="E31" s="767">
        <v>135.49666363795859</v>
      </c>
      <c r="F31" s="767">
        <v>-234.17147415281158</v>
      </c>
      <c r="G31" s="767">
        <v>68.976881803571132</v>
      </c>
      <c r="H31" s="767">
        <v>0</v>
      </c>
      <c r="I31" s="767"/>
      <c r="J31" s="767"/>
      <c r="K31" s="767">
        <v>0</v>
      </c>
      <c r="L31" s="770">
        <v>4772.6398354747989</v>
      </c>
      <c r="M31" s="506"/>
      <c r="N31" s="507">
        <f>L31*100/[8]Pehmed_meetmed!$M$3</f>
        <v>347.98151197254543</v>
      </c>
      <c r="O31" s="521"/>
      <c r="P31" s="522"/>
      <c r="Q31" s="522"/>
      <c r="R31" s="522"/>
      <c r="S31" s="556"/>
      <c r="T31" s="523">
        <f t="shared" si="7"/>
        <v>0</v>
      </c>
      <c r="U31" s="549"/>
      <c r="V31" s="525"/>
      <c r="W31" s="526"/>
      <c r="X31" s="527"/>
      <c r="Y31" s="522"/>
      <c r="Z31" s="531"/>
      <c r="AA31" s="549"/>
      <c r="AB31" s="525"/>
      <c r="AC31" s="526"/>
      <c r="AD31" s="527"/>
      <c r="AE31" s="522"/>
      <c r="AF31" s="531"/>
      <c r="AH31" s="925"/>
      <c r="AI31" s="927"/>
    </row>
    <row r="32" spans="1:35" ht="15" hidden="1">
      <c r="A32" s="783" t="s">
        <v>252</v>
      </c>
      <c r="B32" s="759"/>
      <c r="C32" s="759"/>
      <c r="D32" s="759"/>
      <c r="E32" s="759"/>
      <c r="F32" s="759">
        <v>71.559633027522921</v>
      </c>
      <c r="G32" s="759">
        <v>387.54935359368164</v>
      </c>
      <c r="H32" s="759"/>
      <c r="I32" s="759">
        <v>0</v>
      </c>
      <c r="J32" s="759">
        <v>0</v>
      </c>
      <c r="K32" s="759"/>
      <c r="L32" s="771">
        <v>459.10898662120456</v>
      </c>
      <c r="M32" s="519"/>
      <c r="N32" s="520">
        <f>L32*100/[8]Pehmed_meetmed!$M$3</f>
        <v>33.474438640253325</v>
      </c>
      <c r="O32" s="521"/>
      <c r="P32" s="522">
        <f>B32*[8]TJ_kytusehinnad!$B$39/1000+SUM(C32:G32)*[8]TJ_kytusehinnad!$B$47/1000</f>
        <v>14696.620995471081</v>
      </c>
      <c r="Q32" s="522">
        <f>B32*[8]TJ_kytusehinnad!$B$16/1000+SUM(C32:G32)*[8]TJ_kytusehinnad!$B$17/1000</f>
        <v>4721.9242200441186</v>
      </c>
      <c r="R32" s="522"/>
      <c r="S32" s="556"/>
      <c r="T32" s="523">
        <f t="shared" si="7"/>
        <v>-32.011181274473223</v>
      </c>
      <c r="U32" s="549"/>
      <c r="V32" s="525"/>
      <c r="W32" s="526"/>
      <c r="X32" s="527"/>
      <c r="Y32" s="522"/>
      <c r="Z32" s="531"/>
      <c r="AA32" s="549"/>
      <c r="AB32" s="525"/>
      <c r="AC32" s="526"/>
      <c r="AD32" s="527"/>
      <c r="AE32" s="522"/>
      <c r="AF32" s="531"/>
      <c r="AH32" s="925"/>
      <c r="AI32" s="927"/>
    </row>
    <row r="33" spans="1:35" ht="15">
      <c r="A33" s="783" t="s">
        <v>253</v>
      </c>
      <c r="B33" s="759"/>
      <c r="C33" s="759"/>
      <c r="D33" s="759">
        <v>389.37290383199763</v>
      </c>
      <c r="E33" s="759"/>
      <c r="F33" s="759"/>
      <c r="G33" s="759"/>
      <c r="H33" s="759"/>
      <c r="I33" s="759">
        <v>-2269.5670475333513</v>
      </c>
      <c r="J33" s="759">
        <v>2269.5670475333513</v>
      </c>
      <c r="K33" s="759"/>
      <c r="L33" s="771">
        <v>389.37290383199752</v>
      </c>
      <c r="M33" s="519"/>
      <c r="N33" s="520">
        <f>L33*100/$L$4</f>
        <v>0.95008406371936616</v>
      </c>
      <c r="O33" s="521">
        <f>P33*0.8</f>
        <v>9971.4292863472856</v>
      </c>
      <c r="P33" s="522">
        <f>B33*[8]TJ_kytusehinnad!$B$39/1000+SUM(C33:G33)*[8]TJ_kytusehinnad!$B$47/1000</f>
        <v>12464.286607934106</v>
      </c>
      <c r="Q33" s="522">
        <f>B33*[8]TJ_kytusehinnad!$B$16/1000+SUM(C33:G33)*[8]TJ_kytusehinnad!$B$17/1000</f>
        <v>4004.6903868387517</v>
      </c>
      <c r="R33" s="522"/>
      <c r="S33" s="556"/>
      <c r="T33" s="523">
        <f t="shared" si="7"/>
        <v>-6.4022362548946434</v>
      </c>
      <c r="U33" s="530">
        <f>'[8]3 Koond_Sorteeritud_STSEN'!R18</f>
        <v>0.75</v>
      </c>
      <c r="V33" s="525">
        <f>$U$33*O33</f>
        <v>7478.5719647604637</v>
      </c>
      <c r="W33" s="526">
        <f>$U$33*P33</f>
        <v>9348.2149559505797</v>
      </c>
      <c r="X33" s="527">
        <f>$U$33*Q33</f>
        <v>3003.5177901290635</v>
      </c>
      <c r="Y33" s="526">
        <f>$U$33*R33</f>
        <v>0</v>
      </c>
      <c r="Z33" s="531">
        <f>'[8]3 Koond_Sorteeritud_STSEN'!P18</f>
        <v>437.24588084792879</v>
      </c>
      <c r="AA33" s="530">
        <f>'[8]3 Koond_Sorteeritud_STSEN'!S18</f>
        <v>1</v>
      </c>
      <c r="AB33" s="525">
        <f t="shared" ref="AB33:AE37" si="8">$AA33*O33</f>
        <v>9971.4292863472856</v>
      </c>
      <c r="AC33" s="526">
        <f t="shared" si="8"/>
        <v>12464.286607934106</v>
      </c>
      <c r="AD33" s="527">
        <f t="shared" si="8"/>
        <v>4004.6903868387517</v>
      </c>
      <c r="AE33" s="526">
        <f t="shared" si="8"/>
        <v>0</v>
      </c>
      <c r="AF33" s="531">
        <f>'[8]3 Koond_Sorteeritud_STSEN'!Q18</f>
        <v>582.99450779723838</v>
      </c>
      <c r="AH33" s="925"/>
      <c r="AI33" s="927"/>
    </row>
    <row r="34" spans="1:35" ht="15">
      <c r="A34" s="783" t="s">
        <v>254</v>
      </c>
      <c r="B34" s="759"/>
      <c r="C34" s="759"/>
      <c r="D34" s="759">
        <v>292.0296778739982</v>
      </c>
      <c r="E34" s="759"/>
      <c r="F34" s="759"/>
      <c r="G34" s="759"/>
      <c r="H34" s="759"/>
      <c r="I34" s="759">
        <v>-1702.1752856500134</v>
      </c>
      <c r="J34" s="759">
        <v>1702.1752856500134</v>
      </c>
      <c r="K34" s="759"/>
      <c r="L34" s="771">
        <v>292.02967787399825</v>
      </c>
      <c r="M34" s="519"/>
      <c r="N34" s="520">
        <f>L34*100/$L$4</f>
        <v>0.71256304778952495</v>
      </c>
      <c r="O34" s="521">
        <f>P34*0.8</f>
        <v>7478.5719647604628</v>
      </c>
      <c r="P34" s="522">
        <f>B34*[8]TJ_kytusehinnad!$B$39/1000+SUM(C34:G34)*[8]TJ_kytusehinnad!$B$47/1000</f>
        <v>9348.2149559505779</v>
      </c>
      <c r="Q34" s="522">
        <f>B34*[8]TJ_kytusehinnad!$B$16/1000+SUM(C34:G34)*[8]TJ_kytusehinnad!$B$17/1000</f>
        <v>3003.5177901290635</v>
      </c>
      <c r="R34" s="522"/>
      <c r="S34" s="556"/>
      <c r="T34" s="523">
        <f t="shared" si="7"/>
        <v>-6.4022362548946408</v>
      </c>
      <c r="U34" s="530">
        <f>'[8]3 Koond_Sorteeritud_STSEN'!R20</f>
        <v>0.5</v>
      </c>
      <c r="V34" s="525">
        <f>$U$34*O34</f>
        <v>3739.2859823802314</v>
      </c>
      <c r="W34" s="526">
        <f>$U$34*P34</f>
        <v>4674.1074779752889</v>
      </c>
      <c r="X34" s="527">
        <f>$U$34*Q34</f>
        <v>1501.7588950645318</v>
      </c>
      <c r="Y34" s="526">
        <f>$U$34*R34</f>
        <v>0</v>
      </c>
      <c r="Z34" s="531">
        <f>'[8]3 Koond_Sorteeritud_STSEN'!P20</f>
        <v>218.62294042396434</v>
      </c>
      <c r="AA34" s="530">
        <f>'[8]3 Koond_Sorteeritud_STSEN'!S20</f>
        <v>1</v>
      </c>
      <c r="AB34" s="525">
        <f t="shared" si="8"/>
        <v>7478.5719647604628</v>
      </c>
      <c r="AC34" s="526">
        <f t="shared" si="8"/>
        <v>9348.2149559505779</v>
      </c>
      <c r="AD34" s="527">
        <f t="shared" si="8"/>
        <v>3003.5177901290635</v>
      </c>
      <c r="AE34" s="526">
        <f t="shared" si="8"/>
        <v>0</v>
      </c>
      <c r="AF34" s="531">
        <f>'[8]3 Koond_Sorteeritud_STSEN'!Q20</f>
        <v>437.24588084792867</v>
      </c>
      <c r="AH34" s="925"/>
      <c r="AI34" s="927"/>
    </row>
    <row r="35" spans="1:35" ht="15">
      <c r="A35" s="783" t="s">
        <v>255</v>
      </c>
      <c r="B35" s="759"/>
      <c r="C35" s="759"/>
      <c r="D35" s="759"/>
      <c r="E35" s="759"/>
      <c r="F35" s="759"/>
      <c r="G35" s="759">
        <v>186</v>
      </c>
      <c r="H35" s="759"/>
      <c r="I35" s="759"/>
      <c r="J35" s="759"/>
      <c r="K35" s="759"/>
      <c r="L35" s="771">
        <v>186</v>
      </c>
      <c r="M35" s="519"/>
      <c r="N35" s="520">
        <f>L35*100/$L$4</f>
        <v>0.45384677288188879</v>
      </c>
      <c r="O35" s="521">
        <v>5760</v>
      </c>
      <c r="P35" s="522">
        <v>3300</v>
      </c>
      <c r="Q35" s="522">
        <f>B35*[8]TJ_kytusehinnad!$B$16/1000+SUM(C35:G35)*[8]TJ_kytusehinnad!$B$17/1000*0.25</f>
        <v>478.2513142423216</v>
      </c>
      <c r="R35" s="522"/>
      <c r="S35" s="556"/>
      <c r="T35" s="523">
        <f t="shared" si="7"/>
        <v>13.225806451612904</v>
      </c>
      <c r="U35" s="530">
        <f>'[8]3 Koond_Sorteeritud_STSEN'!R25</f>
        <v>0</v>
      </c>
      <c r="V35" s="525">
        <f>$U$35*O35</f>
        <v>0</v>
      </c>
      <c r="W35" s="526">
        <f>$U$35*P35</f>
        <v>0</v>
      </c>
      <c r="X35" s="527">
        <f>$U$35*Q35</f>
        <v>0</v>
      </c>
      <c r="Y35" s="526">
        <f>$U$35*R35</f>
        <v>0</v>
      </c>
      <c r="Z35" s="531">
        <f>'[8]3 Koond_Sorteeritud_STSEN'!P25</f>
        <v>55.8</v>
      </c>
      <c r="AA35" s="530">
        <f>'[8]3 Koond_Sorteeritud_STSEN'!S25</f>
        <v>0</v>
      </c>
      <c r="AB35" s="525">
        <f t="shared" si="8"/>
        <v>0</v>
      </c>
      <c r="AC35" s="526">
        <f t="shared" si="8"/>
        <v>0</v>
      </c>
      <c r="AD35" s="527">
        <f t="shared" si="8"/>
        <v>0</v>
      </c>
      <c r="AE35" s="526">
        <f t="shared" si="8"/>
        <v>0</v>
      </c>
      <c r="AF35" s="531">
        <f>'[8]3 Koond_Sorteeritud_STSEN'!Q25</f>
        <v>93</v>
      </c>
      <c r="AH35" s="925"/>
      <c r="AI35" s="927"/>
    </row>
    <row r="36" spans="1:35" ht="15">
      <c r="A36" s="783" t="s">
        <v>256</v>
      </c>
      <c r="B36" s="759"/>
      <c r="C36" s="759"/>
      <c r="D36" s="759"/>
      <c r="E36" s="759">
        <v>32.329532551671853</v>
      </c>
      <c r="F36" s="759"/>
      <c r="G36" s="759"/>
      <c r="H36" s="759"/>
      <c r="I36" s="759">
        <v>680.82116009914728</v>
      </c>
      <c r="J36" s="759">
        <v>-680.82116009914728</v>
      </c>
      <c r="K36" s="759"/>
      <c r="L36" s="771">
        <v>32.329532551671832</v>
      </c>
      <c r="M36" s="519"/>
      <c r="N36" s="520">
        <f>L36*100/$L$4</f>
        <v>7.8885236652452881E-2</v>
      </c>
      <c r="O36" s="521">
        <f>[8]Maksumus260913!B115</f>
        <v>2600</v>
      </c>
      <c r="P36" s="522">
        <f>B36*[8]TJ_kytusehinnad!$B$39/1000+SUM(C36:G36)*[8]TJ_kytusehinnad!$B$47/1000</f>
        <v>1034.9065270305505</v>
      </c>
      <c r="Q36" s="522">
        <f>B36*[8]TJ_kytusehinnad!$B$16/1000+SUM(C36:G36)*[8]TJ_kytusehinnad!$B$17/1000</f>
        <v>332.50841788552646</v>
      </c>
      <c r="R36" s="522"/>
      <c r="S36" s="556"/>
      <c r="T36" s="523">
        <f t="shared" si="7"/>
        <v>48.410643440884364</v>
      </c>
      <c r="U36" s="530">
        <f>'[8]3 Koond_Sorteeritud_STSEN'!R26</f>
        <v>1</v>
      </c>
      <c r="V36" s="525">
        <f>$U$36*O36</f>
        <v>2600</v>
      </c>
      <c r="W36" s="526">
        <f>$U$36*P36</f>
        <v>1034.9065270305505</v>
      </c>
      <c r="X36" s="527">
        <f>$U$36*Q36</f>
        <v>332.50841788552646</v>
      </c>
      <c r="Y36" s="526">
        <f>$U$36*R36</f>
        <v>0</v>
      </c>
      <c r="Z36" s="531">
        <f>'[8]3 Koond_Sorteeritud_STSEN'!P26</f>
        <v>37.924778624540409</v>
      </c>
      <c r="AA36" s="530">
        <f>'[8]3 Koond_Sorteeritud_STSEN'!S26</f>
        <v>1</v>
      </c>
      <c r="AB36" s="525">
        <f t="shared" si="8"/>
        <v>2600</v>
      </c>
      <c r="AC36" s="526">
        <f t="shared" si="8"/>
        <v>1034.9065270305505</v>
      </c>
      <c r="AD36" s="527">
        <f t="shared" si="8"/>
        <v>332.50841788552646</v>
      </c>
      <c r="AE36" s="526">
        <f t="shared" si="8"/>
        <v>0</v>
      </c>
      <c r="AF36" s="531">
        <f>'[8]3 Koond_Sorteeritud_STSEN'!Q26</f>
        <v>37.924778624540409</v>
      </c>
      <c r="AH36" s="925"/>
      <c r="AI36" s="927"/>
    </row>
    <row r="37" spans="1:35" ht="15.75" thickBot="1">
      <c r="A37" s="784" t="s">
        <v>257</v>
      </c>
      <c r="B37" s="764"/>
      <c r="C37" s="764"/>
      <c r="D37" s="764">
        <v>16.616777468145902</v>
      </c>
      <c r="E37" s="764"/>
      <c r="F37" s="764"/>
      <c r="G37" s="764"/>
      <c r="H37" s="764"/>
      <c r="I37" s="764"/>
      <c r="J37" s="764"/>
      <c r="K37" s="764"/>
      <c r="L37" s="786">
        <v>16.616777468145902</v>
      </c>
      <c r="M37" s="571"/>
      <c r="N37" s="520">
        <f>L37*100/$L$4</f>
        <v>4.0545542094701612E-2</v>
      </c>
      <c r="O37" s="521">
        <f>P37/3</f>
        <v>177.30755857680018</v>
      </c>
      <c r="P37" s="522">
        <f>B37*[8]TJ_kytusehinnad!$B$39/1000+SUM(C37:G37)*[8]TJ_kytusehinnad!$B$47/1000</f>
        <v>531.92267573040056</v>
      </c>
      <c r="Q37" s="522">
        <f>B37*[8]TJ_kytusehinnad!$B$16/1000+SUM(C37:G37)*[8]TJ_kytusehinnad!$B$17/1000</f>
        <v>170.90313252931125</v>
      </c>
      <c r="R37" s="522"/>
      <c r="S37" s="556"/>
      <c r="T37" s="523">
        <f t="shared" si="7"/>
        <v>-21.34078751631548</v>
      </c>
      <c r="U37" s="530">
        <f>'[8]3 Koond_Sorteeritud_STSEN'!R28</f>
        <v>0.5</v>
      </c>
      <c r="V37" s="525">
        <f>$U$37*O37</f>
        <v>88.653779288400088</v>
      </c>
      <c r="W37" s="526">
        <f>$U$37*P37</f>
        <v>265.96133786520028</v>
      </c>
      <c r="X37" s="527">
        <f>$U$37*Q37</f>
        <v>85.451566264655625</v>
      </c>
      <c r="Y37" s="526">
        <f>$U$37*R37</f>
        <v>0</v>
      </c>
      <c r="Z37" s="531">
        <f>'[8]3 Koond_Sorteeritud_STSEN'!P28</f>
        <v>11.63174422770213</v>
      </c>
      <c r="AA37" s="530">
        <f>'[8]3 Koond_Sorteeritud_STSEN'!S28</f>
        <v>1</v>
      </c>
      <c r="AB37" s="525">
        <f t="shared" si="8"/>
        <v>177.30755857680018</v>
      </c>
      <c r="AC37" s="526">
        <f t="shared" si="8"/>
        <v>531.92267573040056</v>
      </c>
      <c r="AD37" s="527">
        <f t="shared" si="8"/>
        <v>170.90313252931125</v>
      </c>
      <c r="AE37" s="526">
        <f t="shared" si="8"/>
        <v>0</v>
      </c>
      <c r="AF37" s="531">
        <f>'[8]3 Koond_Sorteeritud_STSEN'!Q28</f>
        <v>23.263488455404261</v>
      </c>
      <c r="AH37" s="925"/>
      <c r="AI37" s="927"/>
    </row>
    <row r="38" spans="1:35" s="485" customFormat="1" ht="15.75" hidden="1" thickBot="1">
      <c r="A38" s="580" t="s">
        <v>258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74">
        <f>SUM(L33:L37)</f>
        <v>916.34889172581347</v>
      </c>
      <c r="M38" s="581">
        <f>SUM(M32:M37)</f>
        <v>0</v>
      </c>
      <c r="N38" s="582">
        <f>SUM(N33:N37)</f>
        <v>2.2359246631379341</v>
      </c>
      <c r="O38" s="542"/>
      <c r="P38" s="542"/>
      <c r="Q38" s="542"/>
      <c r="R38" s="542"/>
      <c r="S38" s="486"/>
      <c r="T38" s="542"/>
      <c r="U38" s="543"/>
      <c r="V38" s="525"/>
      <c r="W38" s="544"/>
      <c r="X38" s="545"/>
      <c r="Y38" s="521"/>
      <c r="Z38" s="583"/>
      <c r="AA38" s="543"/>
      <c r="AB38" s="525"/>
      <c r="AC38" s="544"/>
      <c r="AD38" s="545"/>
      <c r="AE38" s="521"/>
      <c r="AF38" s="583"/>
      <c r="AH38" s="926"/>
      <c r="AI38" s="927"/>
    </row>
    <row r="39" spans="1:35" ht="15" hidden="1" customHeight="1">
      <c r="O39" s="542"/>
      <c r="P39" s="548"/>
      <c r="Q39" s="548"/>
      <c r="R39" s="548"/>
      <c r="S39" s="1015"/>
      <c r="T39" s="548"/>
      <c r="U39" s="549"/>
      <c r="V39" s="525"/>
      <c r="W39" s="526"/>
      <c r="X39" s="527"/>
      <c r="Y39" s="522"/>
      <c r="Z39" s="584"/>
      <c r="AA39" s="549"/>
      <c r="AB39" s="525"/>
      <c r="AC39" s="526"/>
      <c r="AD39" s="527"/>
      <c r="AE39" s="522"/>
      <c r="AF39" s="584"/>
      <c r="AH39" s="925"/>
      <c r="AI39" s="927"/>
    </row>
    <row r="40" spans="1:35" ht="15.75" hidden="1" customHeight="1" thickBot="1">
      <c r="A40" s="1126" t="s">
        <v>259</v>
      </c>
      <c r="B40" s="1126"/>
      <c r="C40" s="1126"/>
      <c r="D40" s="1126"/>
      <c r="E40" s="1126"/>
      <c r="F40" s="1126"/>
      <c r="G40" s="1126"/>
      <c r="H40" s="1126"/>
      <c r="I40" s="1126"/>
      <c r="J40" s="1126"/>
      <c r="K40" s="1126"/>
      <c r="L40" s="1126"/>
      <c r="M40" s="1126"/>
      <c r="N40" s="1126"/>
      <c r="O40" s="542"/>
      <c r="P40" s="548"/>
      <c r="Q40" s="548"/>
      <c r="R40" s="548"/>
      <c r="S40" s="548"/>
      <c r="T40" s="548"/>
      <c r="U40" s="549"/>
      <c r="V40" s="525"/>
      <c r="W40" s="526"/>
      <c r="X40" s="527"/>
      <c r="Y40" s="522"/>
      <c r="Z40" s="584"/>
      <c r="AA40" s="549"/>
      <c r="AB40" s="525"/>
      <c r="AC40" s="526"/>
      <c r="AD40" s="527"/>
      <c r="AE40" s="522"/>
      <c r="AF40" s="584"/>
      <c r="AH40" s="925"/>
      <c r="AI40" s="927"/>
    </row>
    <row r="41" spans="1:35" ht="45.75" hidden="1" thickBot="1">
      <c r="A41" s="756"/>
      <c r="B41" s="757" t="s">
        <v>206</v>
      </c>
      <c r="C41" s="757" t="s">
        <v>207</v>
      </c>
      <c r="D41" s="757" t="s">
        <v>208</v>
      </c>
      <c r="E41" s="757" t="s">
        <v>209</v>
      </c>
      <c r="F41" s="757" t="s">
        <v>210</v>
      </c>
      <c r="G41" s="757" t="s">
        <v>211</v>
      </c>
      <c r="H41" s="757" t="s">
        <v>212</v>
      </c>
      <c r="I41" s="757" t="s">
        <v>213</v>
      </c>
      <c r="J41" s="757" t="s">
        <v>214</v>
      </c>
      <c r="K41" s="757" t="s">
        <v>215</v>
      </c>
      <c r="L41" s="758" t="s">
        <v>216</v>
      </c>
      <c r="M41" s="490"/>
      <c r="N41" s="550" t="s">
        <v>217</v>
      </c>
      <c r="O41" s="585" t="s">
        <v>224</v>
      </c>
      <c r="P41" s="586" t="s">
        <v>225</v>
      </c>
      <c r="Q41" s="552" t="s">
        <v>226</v>
      </c>
      <c r="R41" s="587" t="s">
        <v>227</v>
      </c>
      <c r="S41" s="548"/>
      <c r="T41" s="553" t="s">
        <v>228</v>
      </c>
      <c r="U41" s="549"/>
      <c r="V41" s="525"/>
      <c r="W41" s="526"/>
      <c r="X41" s="527"/>
      <c r="Y41" s="522"/>
      <c r="Z41" s="584"/>
      <c r="AA41" s="549"/>
      <c r="AB41" s="525"/>
      <c r="AC41" s="526"/>
      <c r="AD41" s="527"/>
      <c r="AE41" s="522"/>
      <c r="AF41" s="584"/>
      <c r="AH41" s="925"/>
      <c r="AI41" s="927"/>
    </row>
    <row r="42" spans="1:35" ht="15" hidden="1">
      <c r="A42" s="768" t="s">
        <v>223</v>
      </c>
      <c r="B42" s="767">
        <v>23643.38565682865</v>
      </c>
      <c r="C42" s="767">
        <v>3537.5846256478039</v>
      </c>
      <c r="D42" s="767">
        <v>9734.3225957999402</v>
      </c>
      <c r="E42" s="767">
        <v>1796.0851417595477</v>
      </c>
      <c r="F42" s="767">
        <v>269.72543245392637</v>
      </c>
      <c r="G42" s="767">
        <v>1324.4521055021412</v>
      </c>
      <c r="H42" s="767">
        <v>326.68338960135617</v>
      </c>
      <c r="I42" s="767"/>
      <c r="J42" s="767"/>
      <c r="K42" s="767">
        <v>350.75599999999997</v>
      </c>
      <c r="L42" s="770">
        <v>40982.994947593361</v>
      </c>
      <c r="M42" s="494"/>
      <c r="N42" s="588"/>
      <c r="O42" s="521"/>
      <c r="P42" s="522"/>
      <c r="Q42" s="522"/>
      <c r="R42" s="522"/>
      <c r="S42" s="1016"/>
      <c r="T42" s="556"/>
      <c r="U42" s="549"/>
      <c r="V42" s="525"/>
      <c r="W42" s="526"/>
      <c r="X42" s="527"/>
      <c r="Y42" s="522"/>
      <c r="Z42" s="584"/>
      <c r="AA42" s="549"/>
      <c r="AB42" s="525"/>
      <c r="AC42" s="526"/>
      <c r="AD42" s="527"/>
      <c r="AE42" s="522"/>
      <c r="AF42" s="584"/>
      <c r="AH42" s="925"/>
      <c r="AI42" s="927"/>
    </row>
    <row r="43" spans="1:35" ht="15.75" hidden="1" thickBot="1">
      <c r="A43" s="769" t="s">
        <v>231</v>
      </c>
      <c r="B43" s="767">
        <v>3419.6182402275263</v>
      </c>
      <c r="C43" s="767"/>
      <c r="D43" s="767">
        <v>1382.7195239585544</v>
      </c>
      <c r="E43" s="767">
        <v>135.49666363795859</v>
      </c>
      <c r="F43" s="767">
        <v>-234.17147415281158</v>
      </c>
      <c r="G43" s="767">
        <v>68.976881803571132</v>
      </c>
      <c r="H43" s="767">
        <v>0</v>
      </c>
      <c r="I43" s="767"/>
      <c r="J43" s="767"/>
      <c r="K43" s="767">
        <v>0</v>
      </c>
      <c r="L43" s="770">
        <v>4772.6398354747989</v>
      </c>
      <c r="M43" s="506"/>
      <c r="N43" s="589">
        <f>L43*100/[8]Pehmed_meetmed!$M$3</f>
        <v>347.98151197254543</v>
      </c>
      <c r="O43" s="521"/>
      <c r="P43" s="522"/>
      <c r="Q43" s="522"/>
      <c r="R43" s="522"/>
      <c r="S43" s="556"/>
      <c r="T43" s="556"/>
      <c r="U43" s="549"/>
      <c r="V43" s="525"/>
      <c r="W43" s="526"/>
      <c r="X43" s="527"/>
      <c r="Y43" s="522"/>
      <c r="Z43" s="584"/>
      <c r="AA43" s="549"/>
      <c r="AB43" s="525"/>
      <c r="AC43" s="526"/>
      <c r="AD43" s="527"/>
      <c r="AE43" s="522"/>
      <c r="AF43" s="584"/>
      <c r="AH43" s="925"/>
      <c r="AI43" s="927"/>
    </row>
    <row r="44" spans="1:35" ht="15">
      <c r="A44" s="775" t="s">
        <v>260</v>
      </c>
      <c r="B44" s="761">
        <v>1418.603139409719</v>
      </c>
      <c r="C44" s="761">
        <v>0</v>
      </c>
      <c r="D44" s="761">
        <v>0</v>
      </c>
      <c r="E44" s="761">
        <v>-179.60851417595478</v>
      </c>
      <c r="F44" s="761"/>
      <c r="G44" s="761"/>
      <c r="H44" s="761"/>
      <c r="I44" s="761">
        <v>16280</v>
      </c>
      <c r="J44" s="761">
        <v>-16280</v>
      </c>
      <c r="K44" s="761"/>
      <c r="L44" s="771">
        <v>1238.994625233765</v>
      </c>
      <c r="M44" s="519"/>
      <c r="N44" s="520">
        <f>L44*100/$L$4</f>
        <v>3.0231920015072551</v>
      </c>
      <c r="O44" s="521">
        <f>[8]Maksumus260913!C12/1000</f>
        <v>16280</v>
      </c>
      <c r="P44" s="522">
        <f>B44*[8]TJ_kytusehinnad!$B$39/1000+SUM(C44:G44)*[8]TJ_kytusehinnad!$B$47/1000</f>
        <v>48756.809216892274</v>
      </c>
      <c r="Q44" s="522">
        <f>B44*[8]TJ_kytusehinnad!$B$16/1000+SUM(C44:G44)*[8]TJ_kytusehinnad!$B$17/1000</f>
        <v>14665.705064569227</v>
      </c>
      <c r="R44" s="522"/>
      <c r="S44" s="556">
        <f>182000/10</f>
        <v>18200</v>
      </c>
      <c r="T44" s="523">
        <f>(O44-P44-S44)/L44</f>
        <v>-40.901556943663834</v>
      </c>
      <c r="U44" s="530">
        <f>'[8]3 Koond_Sorteeritud_STSEN'!R9</f>
        <v>0.5</v>
      </c>
      <c r="V44" s="525">
        <f>$U$44*O44</f>
        <v>8140</v>
      </c>
      <c r="W44" s="526">
        <f>$U$44*P44</f>
        <v>24378.404608446137</v>
      </c>
      <c r="X44" s="527">
        <f>$U$44*Q44</f>
        <v>7332.8525322846135</v>
      </c>
      <c r="Y44" s="526">
        <f>$U$44*R44</f>
        <v>0</v>
      </c>
      <c r="Z44" s="531">
        <f>'[8]3 Koond_Sorteeritud_STSEN'!P9</f>
        <v>662.60683424933086</v>
      </c>
      <c r="AA44" s="530">
        <f>'[8]3 Koond_Sorteeritud_STSEN'!S9</f>
        <v>1</v>
      </c>
      <c r="AB44" s="525">
        <f t="shared" ref="AB44:AE47" si="9">$AA44*O44</f>
        <v>16280</v>
      </c>
      <c r="AC44" s="526">
        <f t="shared" si="9"/>
        <v>48756.809216892274</v>
      </c>
      <c r="AD44" s="527">
        <f t="shared" si="9"/>
        <v>14665.705064569227</v>
      </c>
      <c r="AE44" s="526">
        <f t="shared" si="9"/>
        <v>0</v>
      </c>
      <c r="AF44" s="531">
        <f>'[8]3 Koond_Sorteeritud_STSEN'!Q9</f>
        <v>1325.2136684986617</v>
      </c>
      <c r="AG44" s="635"/>
      <c r="AH44" s="925"/>
      <c r="AI44" s="927"/>
    </row>
    <row r="45" spans="1:35" ht="15">
      <c r="A45" s="776" t="s">
        <v>261</v>
      </c>
      <c r="B45" s="763">
        <v>54.051698485058857</v>
      </c>
      <c r="C45" s="763"/>
      <c r="D45" s="763">
        <v>745.76441408000005</v>
      </c>
      <c r="E45" s="763">
        <v>0.69573739026228765</v>
      </c>
      <c r="F45" s="763">
        <v>-12.160691326899084</v>
      </c>
      <c r="G45" s="763"/>
      <c r="H45" s="763">
        <v>56.183310460623851</v>
      </c>
      <c r="I45" s="763">
        <v>-10.978948098157598</v>
      </c>
      <c r="J45" s="763">
        <v>10.978948098157598</v>
      </c>
      <c r="K45" s="763">
        <v>376.53627391999999</v>
      </c>
      <c r="L45" s="771">
        <v>1221.0707430090461</v>
      </c>
      <c r="M45" s="519"/>
      <c r="N45" s="520">
        <f>L45*100/$L$4</f>
        <v>2.9794570762104611</v>
      </c>
      <c r="O45" s="521">
        <f>'[8]Maksumus_Raudtee jt meetmed'!B27</f>
        <v>29375</v>
      </c>
      <c r="P45" s="522">
        <f>B45*[8]TJ_kytusehinnad!$B$39/1000+SUM(C45:G45)*[8]TJ_kytusehinnad!$B$47/1000</f>
        <v>25582.594924889894</v>
      </c>
      <c r="Q45" s="522">
        <f>B45*[8]TJ_kytusehinnad!$B$16/1000+SUM(C45:G45)*[8]TJ_kytusehinnad!$B$17/1000</f>
        <v>8181.4295108096103</v>
      </c>
      <c r="R45" s="522"/>
      <c r="S45" s="556"/>
      <c r="T45" s="523">
        <f>(O45-P45-S45)/L45</f>
        <v>3.1058029166799965</v>
      </c>
      <c r="U45" s="530">
        <f>'[8]3 Koond_Sorteeritud_STSEN'!R16</f>
        <v>0</v>
      </c>
      <c r="V45" s="525">
        <f>$U$45*O45</f>
        <v>0</v>
      </c>
      <c r="W45" s="526">
        <f>$U$45*P45</f>
        <v>0</v>
      </c>
      <c r="X45" s="527">
        <f>$U$45*Q45</f>
        <v>0</v>
      </c>
      <c r="Y45" s="526">
        <f>$U$45*R45</f>
        <v>0</v>
      </c>
      <c r="Z45" s="531">
        <f>'[8]3 Koond_Sorteeritud_STSEN'!P16</f>
        <v>1221.0707430090461</v>
      </c>
      <c r="AA45" s="530">
        <f>'[8]3 Koond_Sorteeritud_STSEN'!S16</f>
        <v>0</v>
      </c>
      <c r="AB45" s="525">
        <f t="shared" si="9"/>
        <v>0</v>
      </c>
      <c r="AC45" s="526">
        <f t="shared" si="9"/>
        <v>0</v>
      </c>
      <c r="AD45" s="527">
        <f t="shared" si="9"/>
        <v>0</v>
      </c>
      <c r="AE45" s="526">
        <f t="shared" si="9"/>
        <v>0</v>
      </c>
      <c r="AF45" s="531">
        <f>'[8]3 Koond_Sorteeritud_STSEN'!Q16</f>
        <v>610.53537150452303</v>
      </c>
      <c r="AG45" s="635"/>
      <c r="AH45" s="925"/>
      <c r="AI45" s="927"/>
    </row>
    <row r="46" spans="1:35" ht="15">
      <c r="A46" s="765" t="s">
        <v>262</v>
      </c>
      <c r="B46" s="761"/>
      <c r="C46" s="761"/>
      <c r="D46" s="761"/>
      <c r="E46" s="761"/>
      <c r="F46" s="763">
        <v>71.559633027522921</v>
      </c>
      <c r="G46" s="763">
        <v>387.54935359368164</v>
      </c>
      <c r="H46" s="763"/>
      <c r="I46" s="761">
        <v>0</v>
      </c>
      <c r="J46" s="761">
        <v>0</v>
      </c>
      <c r="K46" s="761"/>
      <c r="L46" s="772">
        <v>459.10898662120456</v>
      </c>
      <c r="M46" s="519"/>
      <c r="N46" s="520">
        <f>L46*100/$L$4</f>
        <v>1.1202426450489673</v>
      </c>
      <c r="O46" s="521">
        <v>6000</v>
      </c>
      <c r="P46" s="522">
        <v>10000</v>
      </c>
      <c r="Q46" s="522">
        <f>B46*[8]TJ_kytusehinnad!$B$16/1000+SUM(C46:G46)*[8]TJ_kytusehinnad!$B$17/1000*0.25</f>
        <v>1180.4810550110296</v>
      </c>
      <c r="R46" s="522"/>
      <c r="S46" s="556"/>
      <c r="T46" s="523">
        <f>(O46-P46-S46)/L46</f>
        <v>-8.7125282156593151</v>
      </c>
      <c r="U46" s="530">
        <f>'[8]3 Koond_Sorteeritud_STSEN'!R17</f>
        <v>0</v>
      </c>
      <c r="V46" s="525">
        <f>$U$46*O46</f>
        <v>0</v>
      </c>
      <c r="W46" s="526">
        <f>$U$46*P46</f>
        <v>0</v>
      </c>
      <c r="X46" s="527">
        <f>$U$46*Q46</f>
        <v>0</v>
      </c>
      <c r="Y46" s="526">
        <f>$U$46*R46</f>
        <v>0</v>
      </c>
      <c r="Z46" s="531">
        <f>'[8]3 Koond_Sorteeritud_STSEN'!P17</f>
        <v>0</v>
      </c>
      <c r="AA46" s="530">
        <f>'[8]3 Koond_Sorteeritud_STSEN'!S17</f>
        <v>0</v>
      </c>
      <c r="AB46" s="525">
        <f t="shared" si="9"/>
        <v>0</v>
      </c>
      <c r="AC46" s="526">
        <f t="shared" si="9"/>
        <v>0</v>
      </c>
      <c r="AD46" s="527">
        <f t="shared" si="9"/>
        <v>0</v>
      </c>
      <c r="AE46" s="526">
        <f t="shared" si="9"/>
        <v>0</v>
      </c>
      <c r="AF46" s="531">
        <f>'[8]3 Koond_Sorteeritud_STSEN'!Q17</f>
        <v>459.10898662120456</v>
      </c>
      <c r="AG46" s="635"/>
      <c r="AH46" s="925"/>
      <c r="AI46" s="927"/>
    </row>
    <row r="47" spans="1:35" ht="15.75" thickBot="1">
      <c r="A47" s="777" t="s">
        <v>263</v>
      </c>
      <c r="B47" s="774">
        <v>354.65078485242975</v>
      </c>
      <c r="C47" s="774"/>
      <c r="D47" s="774"/>
      <c r="E47" s="774"/>
      <c r="F47" s="774"/>
      <c r="G47" s="774"/>
      <c r="H47" s="774"/>
      <c r="I47" s="774">
        <v>0</v>
      </c>
      <c r="J47" s="774">
        <v>0</v>
      </c>
      <c r="K47" s="774"/>
      <c r="L47" s="778">
        <v>354.65078485242975</v>
      </c>
      <c r="M47" s="519"/>
      <c r="N47" s="520">
        <f>L47*100/$L$4</f>
        <v>0.86536082906077583</v>
      </c>
      <c r="O47" s="521">
        <f>[8]Maksumus260913!B78*1000</f>
        <v>13926.666666666666</v>
      </c>
      <c r="P47" s="522">
        <f>B47*[8]TJ_kytusehinnad!$B$39/1000+SUM(C47:G47)*[8]TJ_kytusehinnad!$B$47/1000</f>
        <v>13626.572480654389</v>
      </c>
      <c r="Q47" s="522">
        <f>B47*[8]TJ_kytusehinnad!$B$16/1000+SUM(C47:G47)*[8]TJ_kytusehinnad!$B$17/1000</f>
        <v>4128.243513205538</v>
      </c>
      <c r="R47" s="522"/>
      <c r="S47" s="556">
        <f>182000/10</f>
        <v>18200</v>
      </c>
      <c r="T47" s="523">
        <f>(O47+Q47-P47-R47-S22)/L47</f>
        <v>-38.831613770465999</v>
      </c>
      <c r="U47" s="530">
        <f>'[8]3 Koond_Sorteeritud_STSEN'!R19</f>
        <v>0.5</v>
      </c>
      <c r="V47" s="525">
        <f>$U$47*O47</f>
        <v>6963.333333333333</v>
      </c>
      <c r="W47" s="526">
        <f>$U$47*P47</f>
        <v>6813.2862403271947</v>
      </c>
      <c r="X47" s="527">
        <f>$U$47*Q47</f>
        <v>2064.121756602769</v>
      </c>
      <c r="Y47" s="526">
        <f>$U$47*R47</f>
        <v>0</v>
      </c>
      <c r="Z47" s="531">
        <f>'[8]3 Koond_Sorteeritud_STSEN'!P19</f>
        <v>178.82003447363155</v>
      </c>
      <c r="AA47" s="530">
        <f>'[8]3 Koond_Sorteeritud_STSEN'!S19</f>
        <v>0.75</v>
      </c>
      <c r="AB47" s="525">
        <f t="shared" si="9"/>
        <v>10445</v>
      </c>
      <c r="AC47" s="526">
        <f t="shared" si="9"/>
        <v>10219.929360490793</v>
      </c>
      <c r="AD47" s="527">
        <f t="shared" si="9"/>
        <v>3096.1826349041535</v>
      </c>
      <c r="AE47" s="526">
        <f t="shared" si="9"/>
        <v>0</v>
      </c>
      <c r="AF47" s="531">
        <f>'[8]3 Koond_Sorteeritud_STSEN'!Q19</f>
        <v>357.6400689472631</v>
      </c>
      <c r="AG47" s="635"/>
      <c r="AH47" s="925"/>
      <c r="AI47" s="927"/>
    </row>
    <row r="48" spans="1:35" s="485" customFormat="1" ht="15.75" hidden="1" thickBot="1">
      <c r="A48" s="594" t="s">
        <v>264</v>
      </c>
      <c r="B48" s="540"/>
      <c r="C48" s="540"/>
      <c r="D48" s="540"/>
      <c r="E48" s="540"/>
      <c r="F48" s="540"/>
      <c r="G48" s="540"/>
      <c r="H48" s="540"/>
      <c r="I48" s="540"/>
      <c r="J48" s="540"/>
      <c r="K48" s="540"/>
      <c r="L48" s="539">
        <f>SUM(L44:L47)</f>
        <v>3273.8251397164454</v>
      </c>
      <c r="M48" s="540"/>
      <c r="N48" s="595">
        <f>SUM(N44:N47)</f>
        <v>7.9882525518274594</v>
      </c>
      <c r="O48" s="542"/>
      <c r="P48" s="542"/>
      <c r="Q48" s="542"/>
      <c r="R48" s="542"/>
      <c r="S48" s="486"/>
      <c r="T48" s="542"/>
      <c r="U48" s="543"/>
      <c r="V48" s="525"/>
      <c r="W48" s="544"/>
      <c r="X48" s="545"/>
      <c r="Y48" s="521"/>
      <c r="Z48" s="546"/>
      <c r="AA48" s="543"/>
      <c r="AB48" s="525"/>
      <c r="AC48" s="544"/>
      <c r="AD48" s="545"/>
      <c r="AE48" s="521"/>
      <c r="AF48" s="546"/>
      <c r="AH48" s="926"/>
      <c r="AI48" s="927"/>
    </row>
    <row r="49" spans="1:35" ht="15" hidden="1" customHeight="1">
      <c r="N49" s="547"/>
      <c r="O49" s="542"/>
      <c r="P49" s="548"/>
      <c r="Q49" s="548"/>
      <c r="R49" s="548"/>
      <c r="S49" s="1015"/>
      <c r="T49" s="548"/>
      <c r="U49" s="549"/>
      <c r="V49" s="525"/>
      <c r="W49" s="526"/>
      <c r="X49" s="527"/>
      <c r="Y49" s="522"/>
      <c r="Z49" s="531"/>
      <c r="AA49" s="549"/>
      <c r="AB49" s="525"/>
      <c r="AC49" s="526"/>
      <c r="AD49" s="527"/>
      <c r="AE49" s="522"/>
      <c r="AF49" s="531"/>
      <c r="AH49" s="925"/>
      <c r="AI49" s="927"/>
    </row>
    <row r="50" spans="1:35" ht="15.75" hidden="1" customHeight="1">
      <c r="A50" s="1126" t="s">
        <v>265</v>
      </c>
      <c r="B50" s="1126"/>
      <c r="C50" s="1126"/>
      <c r="D50" s="1126"/>
      <c r="E50" s="1126"/>
      <c r="F50" s="1126"/>
      <c r="G50" s="1126"/>
      <c r="H50" s="1126"/>
      <c r="I50" s="1126"/>
      <c r="J50" s="1126"/>
      <c r="K50" s="1126"/>
      <c r="L50" s="1126"/>
      <c r="M50" s="1126"/>
      <c r="N50" s="1126"/>
      <c r="O50" s="542"/>
      <c r="P50" s="548"/>
      <c r="Q50" s="548"/>
      <c r="R50" s="548"/>
      <c r="S50" s="548"/>
      <c r="T50" s="548"/>
      <c r="U50" s="549"/>
      <c r="V50" s="525"/>
      <c r="W50" s="526"/>
      <c r="X50" s="527"/>
      <c r="Y50" s="522"/>
      <c r="Z50" s="531"/>
      <c r="AA50" s="549"/>
      <c r="AB50" s="525"/>
      <c r="AC50" s="526"/>
      <c r="AD50" s="527"/>
      <c r="AE50" s="522"/>
      <c r="AF50" s="531"/>
      <c r="AH50" s="925"/>
      <c r="AI50" s="927"/>
    </row>
    <row r="51" spans="1:35" ht="45.75" hidden="1" thickBot="1">
      <c r="A51" s="756"/>
      <c r="B51" s="757" t="s">
        <v>206</v>
      </c>
      <c r="C51" s="757" t="s">
        <v>207</v>
      </c>
      <c r="D51" s="757" t="s">
        <v>208</v>
      </c>
      <c r="E51" s="757" t="s">
        <v>209</v>
      </c>
      <c r="F51" s="757" t="s">
        <v>210</v>
      </c>
      <c r="G51" s="757" t="s">
        <v>211</v>
      </c>
      <c r="H51" s="757" t="s">
        <v>212</v>
      </c>
      <c r="I51" s="757" t="s">
        <v>213</v>
      </c>
      <c r="J51" s="757" t="s">
        <v>214</v>
      </c>
      <c r="K51" s="757" t="s">
        <v>215</v>
      </c>
      <c r="L51" s="758" t="s">
        <v>216</v>
      </c>
      <c r="M51" s="490"/>
      <c r="N51" s="550" t="s">
        <v>217</v>
      </c>
      <c r="O51" s="585" t="s">
        <v>224</v>
      </c>
      <c r="P51" s="586" t="s">
        <v>225</v>
      </c>
      <c r="Q51" s="552" t="s">
        <v>226</v>
      </c>
      <c r="R51" s="587" t="s">
        <v>227</v>
      </c>
      <c r="S51" s="548"/>
      <c r="T51" s="553" t="s">
        <v>228</v>
      </c>
      <c r="U51" s="549"/>
      <c r="V51" s="525"/>
      <c r="W51" s="526"/>
      <c r="X51" s="527"/>
      <c r="Y51" s="522"/>
      <c r="Z51" s="531"/>
      <c r="AA51" s="549"/>
      <c r="AB51" s="525"/>
      <c r="AC51" s="526"/>
      <c r="AD51" s="527"/>
      <c r="AE51" s="522"/>
      <c r="AF51" s="531"/>
      <c r="AH51" s="925"/>
      <c r="AI51" s="927"/>
    </row>
    <row r="52" spans="1:35" ht="15" hidden="1">
      <c r="A52" s="768" t="s">
        <v>223</v>
      </c>
      <c r="B52" s="767">
        <v>23643.38565682865</v>
      </c>
      <c r="C52" s="767">
        <v>3537.5846256478039</v>
      </c>
      <c r="D52" s="767">
        <v>9734.3225957999402</v>
      </c>
      <c r="E52" s="767">
        <v>1796.0851417595477</v>
      </c>
      <c r="F52" s="767">
        <v>269.72543245392637</v>
      </c>
      <c r="G52" s="767">
        <v>1324.4521055021412</v>
      </c>
      <c r="H52" s="767">
        <v>326.68338960135617</v>
      </c>
      <c r="I52" s="767"/>
      <c r="J52" s="767"/>
      <c r="K52" s="767">
        <v>350.75599999999997</v>
      </c>
      <c r="L52" s="770">
        <v>40982.994947593361</v>
      </c>
      <c r="M52" s="494"/>
      <c r="N52" s="588"/>
      <c r="O52" s="521"/>
      <c r="P52" s="522"/>
      <c r="Q52" s="522"/>
      <c r="R52" s="522"/>
      <c r="S52" s="1016"/>
      <c r="T52" s="556"/>
      <c r="U52" s="549"/>
      <c r="V52" s="525"/>
      <c r="W52" s="526"/>
      <c r="X52" s="527"/>
      <c r="Y52" s="522"/>
      <c r="Z52" s="531"/>
      <c r="AA52" s="549"/>
      <c r="AB52" s="525"/>
      <c r="AC52" s="526"/>
      <c r="AD52" s="527"/>
      <c r="AE52" s="522"/>
      <c r="AF52" s="531"/>
      <c r="AH52" s="925"/>
      <c r="AI52" s="927"/>
    </row>
    <row r="53" spans="1:35" ht="15.75" hidden="1" thickBot="1">
      <c r="A53" s="769" t="s">
        <v>231</v>
      </c>
      <c r="B53" s="767">
        <v>3419.6182402275263</v>
      </c>
      <c r="C53" s="767"/>
      <c r="D53" s="767">
        <v>1382.7195239585544</v>
      </c>
      <c r="E53" s="767">
        <v>135.49666363795859</v>
      </c>
      <c r="F53" s="767">
        <v>-234.17147415281158</v>
      </c>
      <c r="G53" s="767">
        <v>68.976881803571132</v>
      </c>
      <c r="H53" s="767">
        <v>0</v>
      </c>
      <c r="I53" s="767"/>
      <c r="J53" s="767"/>
      <c r="K53" s="767">
        <v>0</v>
      </c>
      <c r="L53" s="770">
        <v>4772.6398354747989</v>
      </c>
      <c r="M53" s="506"/>
      <c r="N53" s="589">
        <f>L53*100/[8]Pehmed_meetmed!$M$3</f>
        <v>347.98151197254543</v>
      </c>
      <c r="O53" s="521"/>
      <c r="P53" s="522"/>
      <c r="Q53" s="522"/>
      <c r="R53" s="522"/>
      <c r="S53" s="556"/>
      <c r="T53" s="556"/>
      <c r="U53" s="549"/>
      <c r="V53" s="525"/>
      <c r="W53" s="526"/>
      <c r="X53" s="527"/>
      <c r="Y53" s="522"/>
      <c r="Z53" s="531"/>
      <c r="AA53" s="549"/>
      <c r="AB53" s="525"/>
      <c r="AC53" s="526"/>
      <c r="AD53" s="527"/>
      <c r="AE53" s="522"/>
      <c r="AF53" s="531"/>
      <c r="AH53" s="925"/>
      <c r="AI53" s="927"/>
    </row>
    <row r="54" spans="1:35" ht="15">
      <c r="A54" s="765" t="s">
        <v>266</v>
      </c>
      <c r="B54" s="761">
        <v>2305.2301015407934</v>
      </c>
      <c r="C54" s="761">
        <v>141.50338502591217</v>
      </c>
      <c r="D54" s="761">
        <v>175.21780672439891</v>
      </c>
      <c r="E54" s="761">
        <v>57.47472453630553</v>
      </c>
      <c r="F54" s="761"/>
      <c r="G54" s="761"/>
      <c r="H54" s="761"/>
      <c r="I54" s="761">
        <v>0</v>
      </c>
      <c r="J54" s="761">
        <v>0</v>
      </c>
      <c r="K54" s="761"/>
      <c r="L54" s="771">
        <v>2679.4260178274099</v>
      </c>
      <c r="M54" s="519"/>
      <c r="N54" s="520">
        <f>L54*100/$L$4</f>
        <v>6.5378970503588176</v>
      </c>
      <c r="O54" s="521">
        <v>10000</v>
      </c>
      <c r="P54" s="522">
        <f>B54*[8]TJ_kytusehinnad!$B$39/1000+SUM(C54:G54)*[8]TJ_kytusehinnad!$B$47/1000</f>
        <v>100551.17443267202</v>
      </c>
      <c r="Q54" s="522">
        <f>B54*[8]TJ_kytusehinnad!$B$16/1000+SUM(C54:G54)*[8]TJ_kytusehinnad!$B$17/1000</f>
        <v>30682.17829278619</v>
      </c>
      <c r="R54" s="522"/>
      <c r="S54" s="556">
        <f>182000/10</f>
        <v>18200</v>
      </c>
      <c r="T54" s="523">
        <f>(O54-P54-S54)/L54</f>
        <v>-40.587489152192376</v>
      </c>
      <c r="U54" s="530">
        <f>'[8]3 Koond_Sorteeritud_STSEN'!R6</f>
        <v>0.1</v>
      </c>
      <c r="V54" s="525">
        <f>$U$54*O54</f>
        <v>1000</v>
      </c>
      <c r="W54" s="526">
        <f>$U$54*P54</f>
        <v>10055.117443267203</v>
      </c>
      <c r="X54" s="527">
        <f>$U$54*Q54</f>
        <v>3068.2178292786193</v>
      </c>
      <c r="Y54" s="526">
        <f>$U$54*R54</f>
        <v>0</v>
      </c>
      <c r="Z54" s="531">
        <f>'[8]3 Koond_Sorteeritud_STSEN'!P6</f>
        <v>861.17210401645559</v>
      </c>
      <c r="AA54" s="530">
        <f>'[8]3 Koond_Sorteeritud_STSEN'!S6</f>
        <v>0.33</v>
      </c>
      <c r="AB54" s="525">
        <f t="shared" ref="AB54:AE57" si="10">$AA54*O54</f>
        <v>3300</v>
      </c>
      <c r="AC54" s="526">
        <f t="shared" si="10"/>
        <v>33181.887562781769</v>
      </c>
      <c r="AD54" s="527">
        <f t="shared" si="10"/>
        <v>10125.118836619444</v>
      </c>
      <c r="AE54" s="526">
        <f t="shared" si="10"/>
        <v>0</v>
      </c>
      <c r="AF54" s="531">
        <f>'[8]3 Koond_Sorteeritud_STSEN'!Q6</f>
        <v>2870.573680054852</v>
      </c>
      <c r="AG54" s="635"/>
      <c r="AH54" s="925"/>
      <c r="AI54" s="927"/>
    </row>
    <row r="55" spans="1:35" ht="15">
      <c r="A55" s="766" t="s">
        <v>267</v>
      </c>
      <c r="B55" s="763">
        <v>922.09204061631738</v>
      </c>
      <c r="C55" s="763"/>
      <c r="D55" s="763"/>
      <c r="E55" s="763"/>
      <c r="F55" s="763"/>
      <c r="G55" s="763"/>
      <c r="H55" s="763"/>
      <c r="I55" s="763">
        <v>0</v>
      </c>
      <c r="J55" s="763">
        <v>0</v>
      </c>
      <c r="K55" s="763"/>
      <c r="L55" s="772">
        <v>922.09204061631738</v>
      </c>
      <c r="M55" s="519"/>
      <c r="N55" s="520">
        <f>L55*100/$L$4</f>
        <v>2.2499381555580169</v>
      </c>
      <c r="O55" s="521">
        <f>[8]Maksumus260913!B71*1000</f>
        <v>4100.0000000000009</v>
      </c>
      <c r="P55" s="522">
        <f>B55*[8]TJ_kytusehinnad!$B$39/1000+SUM(C55:G55)*[8]TJ_kytusehinnad!$B$47/1000</f>
        <v>35429.088449701412</v>
      </c>
      <c r="Q55" s="522">
        <f>B55*[8]TJ_kytusehinnad!$B$16/1000+SUM(C55:G55)*[8]TJ_kytusehinnad!$B$17/1000</f>
        <v>10733.433134334398</v>
      </c>
      <c r="R55" s="522"/>
      <c r="S55" s="556">
        <f>182000/10</f>
        <v>18200</v>
      </c>
      <c r="T55" s="523">
        <f>(O55-P55-S55)/L55</f>
        <v>-53.713822772612431</v>
      </c>
      <c r="U55" s="530">
        <f>'[8]3 Koond_Sorteeritud_STSEN'!R14</f>
        <v>0.3</v>
      </c>
      <c r="V55" s="525">
        <f>$U$55*O55</f>
        <v>1230.0000000000002</v>
      </c>
      <c r="W55" s="526">
        <f>$U$55*P55</f>
        <v>10628.726534910424</v>
      </c>
      <c r="X55" s="527">
        <f>$U$55*Q55</f>
        <v>3220.0299403003196</v>
      </c>
      <c r="Y55" s="526">
        <f>$U$55*R55</f>
        <v>0</v>
      </c>
      <c r="Z55" s="531">
        <f>'[8]3 Koond_Sorteeritud_STSEN'!P14</f>
        <v>278.95925377886522</v>
      </c>
      <c r="AA55" s="530">
        <f>'[8]3 Koond_Sorteeritud_STSEN'!S14</f>
        <v>0.75</v>
      </c>
      <c r="AB55" s="525">
        <f t="shared" si="10"/>
        <v>3075.0000000000009</v>
      </c>
      <c r="AC55" s="526">
        <f t="shared" si="10"/>
        <v>26571.816337276061</v>
      </c>
      <c r="AD55" s="527">
        <f t="shared" si="10"/>
        <v>8050.0748507507988</v>
      </c>
      <c r="AE55" s="526">
        <f t="shared" si="10"/>
        <v>0</v>
      </c>
      <c r="AF55" s="531">
        <f>'[8]3 Koond_Sorteeritud_STSEN'!Q14</f>
        <v>929.86417926288414</v>
      </c>
      <c r="AG55" s="635"/>
      <c r="AH55" s="925"/>
      <c r="AI55" s="927"/>
    </row>
    <row r="56" spans="1:35" ht="15">
      <c r="A56" s="760" t="s">
        <v>245</v>
      </c>
      <c r="B56" s="759">
        <v>1106.5104487395809</v>
      </c>
      <c r="C56" s="759"/>
      <c r="D56" s="759"/>
      <c r="E56" s="759"/>
      <c r="F56" s="759"/>
      <c r="G56" s="759"/>
      <c r="H56" s="759"/>
      <c r="I56" s="759">
        <v>-17559.557329287516</v>
      </c>
      <c r="J56" s="759">
        <v>17559.557329287516</v>
      </c>
      <c r="K56" s="759"/>
      <c r="L56" s="771">
        <v>1106.5104487395802</v>
      </c>
      <c r="M56" s="519"/>
      <c r="N56" s="520">
        <f>L56*100/$L$4</f>
        <v>2.6999257866696187</v>
      </c>
      <c r="O56" s="521">
        <v>2400</v>
      </c>
      <c r="P56" s="522">
        <f>B56*[8]TJ_kytusehinnad!$B$39/1000+SUM(C56:G56)*[8]TJ_kytusehinnad!$B$47/1000</f>
        <v>42514.906139641695</v>
      </c>
      <c r="Q56" s="522">
        <f>B56*[8]TJ_kytusehinnad!$B$16/1000+SUM(C56:G56)*[8]TJ_kytusehinnad!$B$17/1000</f>
        <v>12880.119761201277</v>
      </c>
      <c r="R56" s="522">
        <v>24000</v>
      </c>
      <c r="S56" s="556">
        <f>182000/10</f>
        <v>18200</v>
      </c>
      <c r="T56" s="523">
        <f>(O56-P56-S56)/L56</f>
        <v>-52.701631698162338</v>
      </c>
      <c r="U56" s="530">
        <f>'[8]3 Koond_Sorteeritud_STSEN'!R11</f>
        <v>0.1</v>
      </c>
      <c r="V56" s="525">
        <f>$U$56*O56</f>
        <v>240</v>
      </c>
      <c r="W56" s="526">
        <f>$U$56*P56</f>
        <v>4251.4906139641698</v>
      </c>
      <c r="X56" s="527">
        <f>$U$56*Q56</f>
        <v>1288.0119761201277</v>
      </c>
      <c r="Y56" s="526">
        <f>$U$56*R56</f>
        <v>2400</v>
      </c>
      <c r="Z56" s="531">
        <f>'[8]3 Koond_Sorteeritud_STSEN'!P11</f>
        <v>111.58370151154595</v>
      </c>
      <c r="AA56" s="530">
        <f>'[8]3 Koond_Sorteeritud_STSEN'!S11</f>
        <v>0.5</v>
      </c>
      <c r="AB56" s="525">
        <f t="shared" si="10"/>
        <v>1200</v>
      </c>
      <c r="AC56" s="526">
        <f t="shared" si="10"/>
        <v>21257.453069820847</v>
      </c>
      <c r="AD56" s="527">
        <f t="shared" si="10"/>
        <v>6440.0598806006383</v>
      </c>
      <c r="AE56" s="526">
        <f t="shared" si="10"/>
        <v>12000</v>
      </c>
      <c r="AF56" s="531">
        <f>'[8]3 Koond_Sorteeritud_STSEN'!Q11</f>
        <v>1115.8370151154595</v>
      </c>
      <c r="AG56" s="651"/>
      <c r="AH56" s="925"/>
      <c r="AI56" s="927"/>
    </row>
    <row r="57" spans="1:35" ht="15.75" thickBot="1">
      <c r="A57" s="762" t="s">
        <v>268</v>
      </c>
      <c r="B57" s="764">
        <v>196.41099618610201</v>
      </c>
      <c r="C57" s="764">
        <v>0</v>
      </c>
      <c r="D57" s="764">
        <v>0</v>
      </c>
      <c r="E57" s="764">
        <v>0</v>
      </c>
      <c r="F57" s="764"/>
      <c r="G57" s="764"/>
      <c r="H57" s="764"/>
      <c r="I57" s="764">
        <v>0</v>
      </c>
      <c r="J57" s="764">
        <v>0</v>
      </c>
      <c r="K57" s="764"/>
      <c r="L57" s="773">
        <v>196.41099618610201</v>
      </c>
      <c r="M57" s="519"/>
      <c r="N57" s="520">
        <f>L57*100/$L$4</f>
        <v>0.47924998267515789</v>
      </c>
      <c r="O57" s="643">
        <f>[8]Maksumus260913!D53</f>
        <v>328</v>
      </c>
      <c r="P57" s="642">
        <f>B57*[8]TJ_kytusehinnad!$B$39/1000+SUM(C57:G57)*[8]TJ_kytusehinnad!$B$47/1000</f>
        <v>7546.6029960743099</v>
      </c>
      <c r="Q57" s="642">
        <f>B57*[8]TJ_kytusehinnad!$B$16/1000+SUM(C57:G57)*[8]TJ_kytusehinnad!$B$17/1000</f>
        <v>2286.284016726202</v>
      </c>
      <c r="R57" s="642"/>
      <c r="S57" s="1017"/>
      <c r="T57" s="523">
        <f>(O57-P57-S57)/L57</f>
        <v>-36.752540011734311</v>
      </c>
      <c r="U57" s="598">
        <f>'[8]3 Koond_Sorteeritud_STSEN'!R23</f>
        <v>0.5</v>
      </c>
      <c r="V57" s="599">
        <f>$U$57*O57</f>
        <v>164</v>
      </c>
      <c r="W57" s="600">
        <f>$U$57*P57</f>
        <v>3773.3014980371549</v>
      </c>
      <c r="X57" s="601">
        <f>$U$57*Q57</f>
        <v>1143.142008363101</v>
      </c>
      <c r="Y57" s="600">
        <f>$U$57*R57</f>
        <v>0</v>
      </c>
      <c r="Z57" s="602">
        <f>'[8]3 Koond_Sorteeritud_STSEN'!P23</f>
        <v>59.419952148613078</v>
      </c>
      <c r="AA57" s="598">
        <f>'[8]3 Koond_Sorteeritud_STSEN'!S23</f>
        <v>1</v>
      </c>
      <c r="AB57" s="599">
        <f t="shared" si="10"/>
        <v>328</v>
      </c>
      <c r="AC57" s="600">
        <f t="shared" si="10"/>
        <v>7546.6029960743099</v>
      </c>
      <c r="AD57" s="601">
        <f t="shared" si="10"/>
        <v>2286.284016726202</v>
      </c>
      <c r="AE57" s="600">
        <f t="shared" si="10"/>
        <v>0</v>
      </c>
      <c r="AF57" s="602">
        <f>'[8]3 Koond_Sorteeritud_STSEN'!Q23</f>
        <v>198.06650716204359</v>
      </c>
      <c r="AG57" s="651"/>
      <c r="AH57" s="925"/>
      <c r="AI57" s="927"/>
    </row>
    <row r="58" spans="1:35" s="649" customFormat="1" ht="39.75" thickBot="1">
      <c r="A58" s="1137"/>
      <c r="B58" s="1138"/>
      <c r="C58" s="1138"/>
      <c r="D58" s="1138"/>
      <c r="E58" s="1138"/>
      <c r="F58" s="538"/>
      <c r="G58" s="538"/>
      <c r="H58" s="538"/>
      <c r="I58" s="538"/>
      <c r="J58" s="538"/>
      <c r="K58" s="538"/>
      <c r="L58" s="574"/>
      <c r="M58" s="540"/>
      <c r="N58" s="595"/>
      <c r="O58" s="648"/>
      <c r="P58" s="648"/>
      <c r="Q58" s="648"/>
      <c r="R58" s="648"/>
      <c r="S58" s="648"/>
      <c r="T58" s="648"/>
      <c r="U58" s="636"/>
      <c r="V58" s="604" t="s">
        <v>224</v>
      </c>
      <c r="W58" s="604" t="s">
        <v>225</v>
      </c>
      <c r="X58" s="637" t="s">
        <v>226</v>
      </c>
      <c r="Y58" s="638" t="s">
        <v>227</v>
      </c>
      <c r="Z58" s="639" t="s">
        <v>270</v>
      </c>
      <c r="AA58" s="636"/>
      <c r="AB58" s="604" t="s">
        <v>224</v>
      </c>
      <c r="AC58" s="604" t="s">
        <v>225</v>
      </c>
      <c r="AD58" s="637" t="s">
        <v>226</v>
      </c>
      <c r="AE58" s="638" t="s">
        <v>227</v>
      </c>
      <c r="AF58" s="639" t="s">
        <v>270</v>
      </c>
    </row>
    <row r="59" spans="1:35" ht="13.5" thickBot="1">
      <c r="O59" s="645">
        <f>SUM(O6:O57)</f>
        <v>192326.88316865888</v>
      </c>
      <c r="P59" s="645">
        <f>SUM(P6:P57)</f>
        <v>837584.94800158031</v>
      </c>
      <c r="Q59" s="645">
        <f>SUM(Q6:Q57)</f>
        <v>253196.98276013212</v>
      </c>
      <c r="R59" s="645">
        <f>SUM(R6:R57)</f>
        <v>651000</v>
      </c>
      <c r="S59" s="645">
        <f>SUM(S6:S57)</f>
        <v>182000</v>
      </c>
      <c r="T59" s="645" t="e">
        <f>AVERAGE(T6:T57)</f>
        <v>#DIV/0!</v>
      </c>
      <c r="U59" s="644" t="s">
        <v>271</v>
      </c>
      <c r="V59" s="645">
        <f>SUM(V5:V7,V9,V18:V25,V33:V37,V44:V47,V54:V57)</f>
        <v>43933.798905916279</v>
      </c>
      <c r="W59" s="645">
        <f>SUM(W5:W7,W9,W18:W25,W33:W37,W44:W47,W54:W57)</f>
        <v>168191.99685278206</v>
      </c>
      <c r="X59" s="645">
        <f>SUM(X5:X7,X9,X18:X25,X33:X37,X44:X47,X54:X57)</f>
        <v>51643.063232589106</v>
      </c>
      <c r="Y59" s="645">
        <f>SUM(Y5:Y7,Y9,Y18:Y25,Y33:Y37,Y44:Y47,Y54:Y57)</f>
        <v>102300</v>
      </c>
      <c r="Z59" s="645">
        <f>SUM(Z5:Z7,Z9,Z18:Z25,Z33:Z37,Z44:Z47,Z54:Z57)</f>
        <v>8499.7209278978844</v>
      </c>
      <c r="AA59" s="644"/>
      <c r="AB59" s="645">
        <f>SUM(AB5:AB7,AB9,AB18:AB25,AB33:AB37,AB44:AB47,AB54:AB57)</f>
        <v>82046.299578915321</v>
      </c>
      <c r="AC59" s="645">
        <f>SUM(AC5:AC7,AC9,AC18:AC25,AC33:AC37,AC44:AC47,AC54:AC57)</f>
        <v>362411.57436956564</v>
      </c>
      <c r="AD59" s="645">
        <f>SUM(AD5:AD7,AD9,AD18:AD25,AD33:AD37,AD44:AD47,AD54:AD57)</f>
        <v>110818.74509196715</v>
      </c>
      <c r="AE59" s="645">
        <f>SUM(AE5:AE7,AE9,AE18:AE25,AE33:AE37,AE44:AE47,AE54:AE57)</f>
        <v>209500</v>
      </c>
      <c r="AF59" s="647">
        <f>SUM(AF6:AF58)</f>
        <v>19329.440065007115</v>
      </c>
      <c r="AI59" s="928"/>
    </row>
    <row r="60" spans="1:35" ht="26.25" customHeight="1" thickBot="1">
      <c r="A60" s="1133" t="s">
        <v>272</v>
      </c>
      <c r="B60" s="1134"/>
      <c r="C60" s="1134"/>
      <c r="D60" s="1134"/>
      <c r="E60" s="1134"/>
      <c r="F60" s="1134"/>
      <c r="G60" s="1134"/>
      <c r="H60" s="1134"/>
      <c r="I60" s="1134"/>
      <c r="J60" s="1134"/>
      <c r="K60" s="1134"/>
      <c r="L60" s="1134"/>
      <c r="M60" s="1134"/>
      <c r="N60" s="1134"/>
      <c r="O60" s="1134"/>
      <c r="P60" s="1134"/>
      <c r="Q60" s="1134"/>
      <c r="R60" s="1134"/>
      <c r="S60" s="1134"/>
      <c r="T60" s="1134"/>
      <c r="U60" s="1134"/>
      <c r="V60" s="650">
        <f>V59-SUM(V44:V47)-V54-V55</f>
        <v>26600.465572582947</v>
      </c>
      <c r="W60" s="606"/>
      <c r="X60" s="606"/>
      <c r="Y60" s="606"/>
      <c r="Z60" s="603"/>
      <c r="AA60" s="606"/>
      <c r="AB60" s="650">
        <f>AB59-SUM(AB44:AB47)-AB54-AB55</f>
        <v>48946.299578915321</v>
      </c>
    </row>
    <row r="61" spans="1:35" ht="15">
      <c r="Z61" s="605"/>
    </row>
    <row r="62" spans="1:35" ht="15">
      <c r="U62" s="607"/>
      <c r="V62" s="608"/>
      <c r="W62" s="607"/>
      <c r="X62" s="609"/>
      <c r="Z62" s="605"/>
    </row>
    <row r="63" spans="1:35" ht="15">
      <c r="Z63" s="605"/>
    </row>
    <row r="64" spans="1:35" ht="15">
      <c r="Z64" s="605"/>
    </row>
    <row r="65" spans="15:28" ht="15">
      <c r="Z65" s="605"/>
    </row>
    <row r="66" spans="15:28" ht="15">
      <c r="Z66" s="605"/>
    </row>
    <row r="67" spans="15:28" ht="15">
      <c r="Z67" s="605"/>
    </row>
    <row r="68" spans="15:28" ht="15">
      <c r="Z68" s="605"/>
    </row>
    <row r="69" spans="15:28" ht="15">
      <c r="Z69" s="605"/>
    </row>
    <row r="71" spans="15:28" s="610" customFormat="1">
      <c r="O71" s="608"/>
      <c r="V71" s="608"/>
      <c r="AB71" s="608"/>
    </row>
    <row r="72" spans="15:28" s="610" customFormat="1">
      <c r="O72" s="608"/>
      <c r="V72" s="608"/>
      <c r="AB72" s="608"/>
    </row>
    <row r="74" spans="15:28" s="610" customFormat="1">
      <c r="O74" s="608"/>
      <c r="V74" s="608"/>
      <c r="AB74" s="608"/>
    </row>
    <row r="85" spans="1:9" ht="15">
      <c r="A85" s="605"/>
      <c r="B85" s="605"/>
      <c r="C85" s="611"/>
      <c r="D85" s="605"/>
      <c r="E85" s="605"/>
      <c r="F85" s="605"/>
      <c r="G85" s="605"/>
      <c r="H85" s="605"/>
      <c r="I85" s="605"/>
    </row>
    <row r="86" spans="1:9" ht="15">
      <c r="A86" s="605"/>
      <c r="B86" s="605"/>
      <c r="C86" s="611"/>
      <c r="D86" s="605"/>
      <c r="E86" s="605"/>
      <c r="F86" s="605"/>
      <c r="G86" s="605"/>
      <c r="H86" s="605"/>
      <c r="I86" s="605"/>
    </row>
    <row r="87" spans="1:9" ht="15">
      <c r="A87" s="605"/>
      <c r="B87" s="605"/>
      <c r="C87" s="611"/>
      <c r="D87" s="605"/>
      <c r="E87" s="605"/>
      <c r="F87" s="605"/>
      <c r="G87" s="605"/>
      <c r="H87" s="605"/>
      <c r="I87" s="605"/>
    </row>
    <row r="88" spans="1:9" ht="15">
      <c r="A88" s="612"/>
      <c r="B88" s="605"/>
      <c r="C88" s="611"/>
      <c r="D88" s="605"/>
      <c r="E88" s="605"/>
      <c r="F88" s="605"/>
      <c r="G88" s="605"/>
      <c r="H88" s="605"/>
      <c r="I88" s="605"/>
    </row>
    <row r="89" spans="1:9" ht="15">
      <c r="A89" s="605"/>
      <c r="B89" s="605"/>
      <c r="C89" s="611"/>
      <c r="D89" s="605"/>
      <c r="E89" s="605"/>
      <c r="F89" s="605"/>
      <c r="G89" s="605"/>
      <c r="H89" s="605"/>
      <c r="I89" s="605"/>
    </row>
    <row r="90" spans="1:9" ht="15">
      <c r="A90" s="605"/>
      <c r="B90" s="605"/>
      <c r="C90" s="611"/>
      <c r="D90" s="605"/>
      <c r="E90" s="605"/>
      <c r="F90" s="605"/>
      <c r="G90" s="605"/>
      <c r="H90" s="605"/>
      <c r="I90" s="605"/>
    </row>
    <row r="91" spans="1:9" ht="15">
      <c r="A91" s="605"/>
      <c r="B91" s="605"/>
      <c r="C91" s="611"/>
      <c r="D91" s="605"/>
      <c r="E91" s="605"/>
      <c r="F91" s="605"/>
      <c r="G91" s="611"/>
      <c r="H91" s="611"/>
      <c r="I91" s="605"/>
    </row>
    <row r="92" spans="1:9" ht="15">
      <c r="A92" s="605"/>
      <c r="B92" s="611"/>
      <c r="C92" s="605"/>
      <c r="D92" s="605"/>
      <c r="E92" s="605"/>
      <c r="F92" s="605"/>
      <c r="G92" s="605"/>
      <c r="H92" s="605"/>
      <c r="I92" s="605"/>
    </row>
    <row r="93" spans="1:9" ht="15">
      <c r="A93" s="605"/>
      <c r="B93" s="611"/>
      <c r="C93" s="611"/>
      <c r="D93" s="605"/>
      <c r="E93" s="605"/>
      <c r="F93" s="605"/>
      <c r="G93" s="605"/>
      <c r="H93" s="605"/>
      <c r="I93" s="605"/>
    </row>
    <row r="94" spans="1:9" ht="15">
      <c r="A94" s="605"/>
      <c r="B94" s="611"/>
      <c r="C94" s="611"/>
      <c r="D94" s="605"/>
      <c r="E94" s="605"/>
      <c r="F94" s="605"/>
      <c r="G94" s="605"/>
      <c r="H94" s="605"/>
      <c r="I94" s="605"/>
    </row>
    <row r="95" spans="1:9" ht="15">
      <c r="D95" s="605"/>
      <c r="E95" s="605"/>
      <c r="F95" s="605"/>
      <c r="G95" s="605"/>
      <c r="H95" s="605"/>
      <c r="I95" s="605"/>
    </row>
    <row r="96" spans="1:9" ht="15">
      <c r="D96" s="605"/>
      <c r="E96" s="605"/>
      <c r="F96" s="605"/>
      <c r="G96" s="605"/>
      <c r="H96" s="605"/>
      <c r="I96" s="605"/>
    </row>
    <row r="97" spans="1:9" ht="15">
      <c r="D97" s="605"/>
      <c r="E97" s="605"/>
      <c r="F97" s="605"/>
      <c r="G97" s="605"/>
      <c r="H97" s="605"/>
      <c r="I97" s="605"/>
    </row>
    <row r="98" spans="1:9" ht="15">
      <c r="A98" s="605"/>
      <c r="B98" s="611"/>
      <c r="C98" s="605"/>
      <c r="D98" s="605"/>
      <c r="E98" s="605"/>
      <c r="F98" s="605"/>
      <c r="G98" s="605"/>
      <c r="H98" s="605"/>
      <c r="I98" s="605"/>
    </row>
    <row r="99" spans="1:9" ht="15">
      <c r="A99" s="605"/>
      <c r="B99" s="611"/>
      <c r="C99" s="605"/>
      <c r="D99" s="605"/>
      <c r="E99" s="605"/>
      <c r="F99" s="605"/>
      <c r="G99" s="605"/>
      <c r="H99" s="605"/>
      <c r="I99" s="605"/>
    </row>
    <row r="100" spans="1:9" ht="15">
      <c r="A100" s="605"/>
      <c r="B100" s="611"/>
      <c r="C100" s="605"/>
      <c r="D100" s="605"/>
      <c r="E100" s="605"/>
      <c r="F100" s="605"/>
      <c r="G100" s="605"/>
      <c r="H100" s="605"/>
      <c r="I100" s="605"/>
    </row>
  </sheetData>
  <mergeCells count="14">
    <mergeCell ref="A60:U60"/>
    <mergeCell ref="A14:N14"/>
    <mergeCell ref="O14:T14"/>
    <mergeCell ref="A28:N28"/>
    <mergeCell ref="A40:N40"/>
    <mergeCell ref="A50:N50"/>
    <mergeCell ref="A58:E58"/>
    <mergeCell ref="A1:T1"/>
    <mergeCell ref="A2:N2"/>
    <mergeCell ref="U2:Z2"/>
    <mergeCell ref="AA2:AF2"/>
    <mergeCell ref="O3:Q3"/>
    <mergeCell ref="V3:Y3"/>
    <mergeCell ref="AB3:AE3"/>
  </mergeCells>
  <pageMargins left="0.25" right="0.25" top="0.75" bottom="0.75" header="0.3" footer="0.3"/>
  <pageSetup paperSize="9" orientation="portrait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AH114"/>
  <sheetViews>
    <sheetView topLeftCell="A6" workbookViewId="0">
      <pane xSplit="11" topLeftCell="L1" activePane="topRight" state="frozen"/>
      <selection activeCell="S33" sqref="S33"/>
      <selection pane="topRight" activeCell="AC59" sqref="AC59"/>
    </sheetView>
  </sheetViews>
  <sheetFormatPr defaultColWidth="8.85546875" defaultRowHeight="12.75"/>
  <cols>
    <col min="1" max="1" width="29.85546875" style="486" customWidth="1"/>
    <col min="2" max="2" width="12.28515625" style="486" hidden="1" customWidth="1"/>
    <col min="3" max="3" width="9.28515625" style="486" hidden="1" customWidth="1"/>
    <col min="4" max="4" width="8.42578125" style="486" hidden="1" customWidth="1"/>
    <col min="5" max="5" width="5.42578125" style="486" hidden="1" customWidth="1"/>
    <col min="6" max="6" width="10" style="486" hidden="1" customWidth="1"/>
    <col min="7" max="7" width="11.140625" style="486" hidden="1" customWidth="1"/>
    <col min="8" max="8" width="7.42578125" style="486" hidden="1" customWidth="1"/>
    <col min="9" max="9" width="20.7109375" style="486" hidden="1" customWidth="1"/>
    <col min="10" max="10" width="14.42578125" style="486" hidden="1" customWidth="1"/>
    <col min="11" max="11" width="5" style="486" hidden="1" customWidth="1"/>
    <col min="12" max="14" width="9.140625" style="486" customWidth="1"/>
    <col min="15" max="15" width="11" style="486" customWidth="1"/>
    <col min="16" max="16" width="11.42578125" style="486" customWidth="1"/>
    <col min="17" max="17" width="9" style="486" customWidth="1"/>
    <col min="18" max="18" width="9" style="712" customWidth="1"/>
    <col min="19" max="21" width="11.85546875" style="486" customWidth="1"/>
    <col min="22" max="22" width="10.42578125" style="486" customWidth="1"/>
    <col min="23" max="23" width="8.85546875" style="485"/>
    <col min="24" max="25" width="8.85546875" style="486" customWidth="1"/>
    <col min="26" max="26" width="8.85546875" style="486"/>
    <col min="27" max="27" width="8.85546875" style="486" customWidth="1"/>
    <col min="28" max="28" width="8.85546875" style="486"/>
    <col min="29" max="29" width="10.140625" style="485" bestFit="1" customWidth="1"/>
    <col min="30" max="31" width="8.85546875" style="486" customWidth="1"/>
    <col min="32" max="32" width="8.85546875" style="486"/>
    <col min="33" max="33" width="0" style="613" hidden="1" customWidth="1"/>
    <col min="34" max="16384" width="8.85546875" style="486"/>
  </cols>
  <sheetData>
    <row r="1" spans="1:33" s="485" customFormat="1" ht="29.25" customHeight="1" thickBot="1">
      <c r="A1" s="1139" t="s">
        <v>202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39"/>
      <c r="Q1" s="1139"/>
      <c r="R1" s="1139"/>
      <c r="S1" s="1139"/>
      <c r="T1" s="1139"/>
      <c r="U1" s="1139"/>
      <c r="V1" s="1139"/>
      <c r="W1" s="1139"/>
      <c r="X1" s="1139"/>
      <c r="Y1" s="1139"/>
      <c r="Z1" s="1139"/>
      <c r="AG1" s="613"/>
    </row>
    <row r="2" spans="1:33" ht="16.5" thickBot="1">
      <c r="A2" s="1126" t="s">
        <v>203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V2" s="1140" t="s">
        <v>273</v>
      </c>
      <c r="W2" s="1141"/>
      <c r="X2" s="1141"/>
      <c r="Y2" s="1141"/>
      <c r="Z2" s="1141"/>
      <c r="AA2" s="1142"/>
      <c r="AB2" s="1140" t="s">
        <v>274</v>
      </c>
      <c r="AC2" s="1141"/>
      <c r="AD2" s="1141"/>
      <c r="AE2" s="1141"/>
      <c r="AF2" s="1141"/>
      <c r="AG2" s="1142"/>
    </row>
    <row r="3" spans="1:33" ht="19.5" customHeight="1" thickBot="1">
      <c r="A3" s="1001"/>
      <c r="B3" s="1002" t="s">
        <v>206</v>
      </c>
      <c r="C3" s="1002" t="s">
        <v>207</v>
      </c>
      <c r="D3" s="1002" t="s">
        <v>208</v>
      </c>
      <c r="E3" s="1002" t="s">
        <v>209</v>
      </c>
      <c r="F3" s="1002" t="s">
        <v>210</v>
      </c>
      <c r="G3" s="1002" t="s">
        <v>211</v>
      </c>
      <c r="H3" s="1002" t="s">
        <v>212</v>
      </c>
      <c r="I3" s="1002" t="s">
        <v>213</v>
      </c>
      <c r="J3" s="1002" t="s">
        <v>214</v>
      </c>
      <c r="K3" s="1002" t="s">
        <v>215</v>
      </c>
      <c r="L3" s="1003" t="s">
        <v>216</v>
      </c>
      <c r="M3" s="614" t="s">
        <v>521</v>
      </c>
      <c r="N3" s="1130" t="s">
        <v>218</v>
      </c>
      <c r="O3" s="1131"/>
      <c r="P3" s="1131"/>
      <c r="Q3" s="488"/>
      <c r="R3" s="1000"/>
      <c r="S3" s="1000" t="s">
        <v>519</v>
      </c>
      <c r="T3" s="488"/>
      <c r="U3" s="488"/>
      <c r="V3" s="492" t="s">
        <v>219</v>
      </c>
      <c r="W3" s="1130" t="s">
        <v>220</v>
      </c>
      <c r="X3" s="1131"/>
      <c r="Y3" s="1131"/>
      <c r="Z3" s="1132"/>
      <c r="AA3" s="493" t="s">
        <v>221</v>
      </c>
      <c r="AB3" s="492"/>
      <c r="AC3" s="1130" t="s">
        <v>275</v>
      </c>
      <c r="AD3" s="1131"/>
      <c r="AE3" s="1131"/>
      <c r="AF3" s="1132"/>
      <c r="AG3" s="615" t="s">
        <v>221</v>
      </c>
    </row>
    <row r="4" spans="1:33" ht="31.5" customHeight="1" thickBot="1">
      <c r="A4" s="1013" t="s">
        <v>520</v>
      </c>
      <c r="B4" s="1004">
        <v>23868</v>
      </c>
      <c r="C4" s="1004">
        <v>10444</v>
      </c>
      <c r="D4" s="1004">
        <v>10444</v>
      </c>
      <c r="E4" s="1004">
        <v>1011</v>
      </c>
      <c r="F4" s="1004">
        <v>438</v>
      </c>
      <c r="G4" s="1004">
        <v>1344</v>
      </c>
      <c r="H4" s="1004">
        <v>175</v>
      </c>
      <c r="I4" s="1004"/>
      <c r="J4" s="1004"/>
      <c r="K4" s="1004">
        <v>175</v>
      </c>
      <c r="L4" s="1011">
        <v>47899</v>
      </c>
      <c r="M4" s="507"/>
      <c r="N4" s="497" t="s">
        <v>224</v>
      </c>
      <c r="O4" s="616" t="s">
        <v>225</v>
      </c>
      <c r="P4" s="617" t="s">
        <v>226</v>
      </c>
      <c r="Q4" s="497" t="s">
        <v>227</v>
      </c>
      <c r="R4" s="1026" t="s">
        <v>541</v>
      </c>
      <c r="S4" s="499" t="s">
        <v>228</v>
      </c>
      <c r="T4" s="499" t="s">
        <v>516</v>
      </c>
      <c r="U4" s="499" t="s">
        <v>518</v>
      </c>
      <c r="V4" s="500" t="s">
        <v>229</v>
      </c>
      <c r="W4" s="501" t="s">
        <v>224</v>
      </c>
      <c r="X4" s="502" t="s">
        <v>225</v>
      </c>
      <c r="Y4" s="503" t="s">
        <v>226</v>
      </c>
      <c r="Z4" s="502" t="s">
        <v>227</v>
      </c>
      <c r="AA4" s="504" t="s">
        <v>229</v>
      </c>
      <c r="AB4" s="500" t="s">
        <v>230</v>
      </c>
      <c r="AC4" s="501" t="s">
        <v>224</v>
      </c>
      <c r="AD4" s="502" t="s">
        <v>225</v>
      </c>
      <c r="AE4" s="503" t="s">
        <v>226</v>
      </c>
      <c r="AF4" s="502" t="s">
        <v>227</v>
      </c>
      <c r="AG4" s="618" t="s">
        <v>230</v>
      </c>
    </row>
    <row r="5" spans="1:33" ht="15">
      <c r="A5" s="1007" t="s">
        <v>232</v>
      </c>
      <c r="B5" s="1004">
        <v>716.04</v>
      </c>
      <c r="C5" s="1004">
        <v>313.32</v>
      </c>
      <c r="D5" s="1004">
        <v>313.32</v>
      </c>
      <c r="E5" s="1004">
        <v>30.33</v>
      </c>
      <c r="F5" s="1004"/>
      <c r="G5" s="1004"/>
      <c r="H5" s="1004"/>
      <c r="I5" s="1004">
        <v>-5679.5245154999975</v>
      </c>
      <c r="J5" s="1004">
        <v>5679.5245154999975</v>
      </c>
      <c r="K5" s="1004"/>
      <c r="L5" s="1011">
        <v>1373.0100000000002</v>
      </c>
      <c r="M5" s="520">
        <f>L5*100/ $L$4</f>
        <v>2.8664690285809731</v>
      </c>
      <c r="N5" s="619">
        <f>[9]Maksumus260913!D25</f>
        <v>120</v>
      </c>
      <c r="O5" s="522">
        <f>B5*[9]TJ_kytusehinnad!$B$39/1000+SUM(C5:E5)*[9]TJ_kytusehinnad!$B$47/1000</f>
        <v>48542.438112508564</v>
      </c>
      <c r="P5" s="522">
        <f>B6*[9]TJ_kytusehinnad!$B$16/1000+SUM(C6:F6)*[9]TJ_kytusehinnad!$B$17/1000</f>
        <v>9724.0784832793397</v>
      </c>
      <c r="Q5" s="522"/>
      <c r="R5" s="1027"/>
      <c r="S5" s="523">
        <f>(N5+P5-O5-Q5)/L5</f>
        <v>-28.185053007064198</v>
      </c>
      <c r="T5" s="998">
        <f>N5+P5-Q5</f>
        <v>9844.0784832793397</v>
      </c>
      <c r="U5" s="998">
        <f>N5-Q5</f>
        <v>120</v>
      </c>
      <c r="V5" s="524">
        <f>'[9]3 Koond_Sorteeritud_STSEN'!R9</f>
        <v>0.75</v>
      </c>
      <c r="W5" s="525">
        <f>$V$5*N5</f>
        <v>90</v>
      </c>
      <c r="X5" s="526">
        <f>$V$5*O5</f>
        <v>36406.828584381423</v>
      </c>
      <c r="Y5" s="527">
        <f>$V$5*P5</f>
        <v>7293.0588624595048</v>
      </c>
      <c r="Z5" s="526">
        <f>$V$5*Q5</f>
        <v>0</v>
      </c>
      <c r="AA5" s="528">
        <f>'[9]3 Koond_Sorteeritud_STSEN'!P9</f>
        <v>1029.7575000000002</v>
      </c>
      <c r="AB5" s="524">
        <f>'[9]3 Koond_Sorteeritud_STSEN'!S9</f>
        <v>1</v>
      </c>
      <c r="AC5" s="525">
        <f t="shared" ref="AC5:AF7" si="0">$AB5*N5</f>
        <v>120</v>
      </c>
      <c r="AD5" s="526">
        <f t="shared" si="0"/>
        <v>48542.438112508564</v>
      </c>
      <c r="AE5" s="527">
        <f t="shared" si="0"/>
        <v>9724.0784832793397</v>
      </c>
      <c r="AF5" s="526">
        <f t="shared" si="0"/>
        <v>0</v>
      </c>
      <c r="AG5" s="620">
        <f>'[9]3 Koond_Sorteeritud_STSEN'!Q9</f>
        <v>1373.0100000000002</v>
      </c>
    </row>
    <row r="6" spans="1:33" ht="15">
      <c r="A6" s="1008" t="s">
        <v>233</v>
      </c>
      <c r="B6" s="1005">
        <v>835.38000000000011</v>
      </c>
      <c r="C6" s="1005">
        <v>0</v>
      </c>
      <c r="D6" s="1005">
        <v>0</v>
      </c>
      <c r="E6" s="1005">
        <v>0</v>
      </c>
      <c r="F6" s="1005"/>
      <c r="G6" s="1005"/>
      <c r="H6" s="1005"/>
      <c r="I6" s="1005">
        <v>0</v>
      </c>
      <c r="J6" s="1005">
        <v>0</v>
      </c>
      <c r="K6" s="1005"/>
      <c r="L6" s="1011">
        <v>835.38000000000011</v>
      </c>
      <c r="M6" s="520">
        <f>L6*100/ $L$4</f>
        <v>1.7440447608509575</v>
      </c>
      <c r="N6" s="619">
        <f>[9]Maksumus260913!D50</f>
        <v>40</v>
      </c>
      <c r="O6" s="522">
        <f>B6*[9]TJ_kytusehinnad!$B$39/1000+SUM(C6:E6)*[9]TJ_kytusehinnad!$B$47/1000</f>
        <v>32097.394409054206</v>
      </c>
      <c r="P6" s="522">
        <f>B6*[9]TJ_kytusehinnad!$B$16/1000+SUM(C6:F6)*[9]TJ_kytusehinnad!$B$17/1000</f>
        <v>9724.0784832793397</v>
      </c>
      <c r="Q6" s="522"/>
      <c r="R6" s="1027"/>
      <c r="S6" s="523">
        <f>(N6+P6-O6-Q6)/L6</f>
        <v>-26.734319621938354</v>
      </c>
      <c r="T6" s="998">
        <f>N6+P6-Q6</f>
        <v>9764.0784832793397</v>
      </c>
      <c r="U6" s="998">
        <f t="shared" ref="U6:U57" si="1">N6-Q6</f>
        <v>40</v>
      </c>
      <c r="V6" s="530">
        <f>'[9]3 Koond_Sorteeritud_STSEN'!R14</f>
        <v>0.5</v>
      </c>
      <c r="W6" s="525">
        <f>$V$6*N6</f>
        <v>20</v>
      </c>
      <c r="X6" s="526">
        <f>$V$6*O6</f>
        <v>16048.697204527103</v>
      </c>
      <c r="Y6" s="527">
        <f>$V$6*P6</f>
        <v>4862.0392416396699</v>
      </c>
      <c r="Z6" s="526">
        <f>$V$6*Q6</f>
        <v>0</v>
      </c>
      <c r="AA6" s="531">
        <f>'[9]3 Koond_Sorteeritud_STSEN'!P14</f>
        <v>417.69000000000005</v>
      </c>
      <c r="AB6" s="530">
        <f>'[9]3 Koond_Sorteeritud_STSEN'!S14</f>
        <v>1</v>
      </c>
      <c r="AC6" s="525">
        <f t="shared" si="0"/>
        <v>40</v>
      </c>
      <c r="AD6" s="526">
        <f t="shared" si="0"/>
        <v>32097.394409054206</v>
      </c>
      <c r="AE6" s="527">
        <f t="shared" si="0"/>
        <v>9724.0784832793397</v>
      </c>
      <c r="AF6" s="526">
        <f t="shared" si="0"/>
        <v>0</v>
      </c>
      <c r="AG6" s="621">
        <f>'[9]3 Koond_Sorteeritud_STSEN'!Q14</f>
        <v>835.38000000000011</v>
      </c>
    </row>
    <row r="7" spans="1:33" ht="15">
      <c r="A7" s="1007" t="s">
        <v>234</v>
      </c>
      <c r="B7" s="1005">
        <v>238.68</v>
      </c>
      <c r="C7" s="1005">
        <v>0</v>
      </c>
      <c r="D7" s="1005">
        <v>0</v>
      </c>
      <c r="E7" s="1005">
        <v>0</v>
      </c>
      <c r="F7" s="1005"/>
      <c r="G7" s="1005"/>
      <c r="H7" s="1005"/>
      <c r="I7" s="1005">
        <v>0</v>
      </c>
      <c r="J7" s="1005">
        <v>0</v>
      </c>
      <c r="K7" s="1005"/>
      <c r="L7" s="1011">
        <v>238.68</v>
      </c>
      <c r="M7" s="520">
        <f>L7*100/ $L$4</f>
        <v>0.49829850310027352</v>
      </c>
      <c r="N7" s="619">
        <f>[9]Maksumus260913!D42/1000</f>
        <v>150</v>
      </c>
      <c r="O7" s="522">
        <f>B7*[9]TJ_kytusehinnad!$B$39/1000+SUM(C7:E7)*[9]TJ_kytusehinnad!$B$47/1000</f>
        <v>9170.6841168726296</v>
      </c>
      <c r="P7" s="522">
        <f>B7*[9]TJ_kytusehinnad!$B$16/1000+SUM(C7:F7)*[9]TJ_kytusehinnad!$B$17/1000</f>
        <v>2778.3081380798108</v>
      </c>
      <c r="Q7" s="522"/>
      <c r="R7" s="1027"/>
      <c r="S7" s="523">
        <f>(N7+P7-O7-Q7)/L7</f>
        <v>-26.153745511952486</v>
      </c>
      <c r="T7" s="998">
        <f>N7+P7-Q7</f>
        <v>2928.3081380798108</v>
      </c>
      <c r="U7" s="998">
        <f t="shared" si="1"/>
        <v>150</v>
      </c>
      <c r="V7" s="530">
        <v>0</v>
      </c>
      <c r="W7" s="525">
        <f>$V$7*N7</f>
        <v>0</v>
      </c>
      <c r="X7" s="526">
        <f>$V$7*O7</f>
        <v>0</v>
      </c>
      <c r="Y7" s="527">
        <f>$V$7*P7</f>
        <v>0</v>
      </c>
      <c r="Z7" s="526">
        <f>$V$7*Q7</f>
        <v>0</v>
      </c>
      <c r="AA7" s="531">
        <f>'[9]3 Koond_Sorteeritud_STSEN'!P21</f>
        <v>71.603999999999999</v>
      </c>
      <c r="AB7" s="530">
        <v>0</v>
      </c>
      <c r="AC7" s="525">
        <f t="shared" si="0"/>
        <v>0</v>
      </c>
      <c r="AD7" s="526">
        <f t="shared" si="0"/>
        <v>0</v>
      </c>
      <c r="AE7" s="527">
        <f t="shared" si="0"/>
        <v>0</v>
      </c>
      <c r="AF7" s="526">
        <f t="shared" si="0"/>
        <v>0</v>
      </c>
      <c r="AG7" s="621">
        <f>'[9]3 Koond_Sorteeritud_STSEN'!Q21</f>
        <v>238.68</v>
      </c>
    </row>
    <row r="8" spans="1:33" ht="15">
      <c r="A8" s="1009" t="s">
        <v>235</v>
      </c>
      <c r="B8" s="1005">
        <v>198.27691875490424</v>
      </c>
      <c r="C8" s="1005">
        <v>0</v>
      </c>
      <c r="D8" s="1005">
        <v>0</v>
      </c>
      <c r="E8" s="1005">
        <v>0</v>
      </c>
      <c r="F8" s="1005"/>
      <c r="G8" s="1005"/>
      <c r="H8" s="1005"/>
      <c r="I8" s="1005">
        <v>0</v>
      </c>
      <c r="J8" s="1005">
        <v>0</v>
      </c>
      <c r="K8" s="1005"/>
      <c r="L8" s="1011">
        <v>198.27691875490424</v>
      </c>
      <c r="M8" s="520">
        <f>L8*100/ $L$4</f>
        <v>0.41394792950772302</v>
      </c>
      <c r="N8" s="619"/>
      <c r="O8" s="522">
        <f>B8*[9]TJ_kytusehinnad!$B$39/1000+SUM(C8:E8)*[9]TJ_kytusehinnad!$B$47/1000</f>
        <v>7618.2964201778323</v>
      </c>
      <c r="P8" s="522">
        <f>B8*[9]TJ_kytusehinnad!$B$16/1000+SUM(C8:F8)*[9]TJ_kytusehinnad!$B$17/1000</f>
        <v>2308.0039256332325</v>
      </c>
      <c r="Q8" s="522"/>
      <c r="R8" s="1027"/>
      <c r="S8" s="523">
        <f>SUM(N8-O8)/L8</f>
        <v>-38.422507612169554</v>
      </c>
      <c r="T8" s="998">
        <f t="shared" ref="T8:T57" si="2">N8+P8-Q8</f>
        <v>2308.0039256332325</v>
      </c>
      <c r="U8" s="998">
        <f t="shared" si="1"/>
        <v>0</v>
      </c>
      <c r="V8" s="530"/>
      <c r="W8" s="525"/>
      <c r="X8" s="526"/>
      <c r="Y8" s="527"/>
      <c r="Z8" s="522"/>
      <c r="AA8" s="531"/>
      <c r="AB8" s="530"/>
      <c r="AC8" s="525"/>
      <c r="AD8" s="526"/>
      <c r="AE8" s="527"/>
      <c r="AF8" s="522"/>
      <c r="AG8" s="621"/>
    </row>
    <row r="9" spans="1:33" ht="15.75" thickBot="1">
      <c r="A9" s="1010" t="s">
        <v>236</v>
      </c>
      <c r="B9" s="1006">
        <v>190.94400000000002</v>
      </c>
      <c r="C9" s="1006">
        <v>0</v>
      </c>
      <c r="D9" s="1006">
        <v>0</v>
      </c>
      <c r="E9" s="1006">
        <v>0</v>
      </c>
      <c r="F9" s="1006"/>
      <c r="G9" s="1006"/>
      <c r="H9" s="1006"/>
      <c r="I9" s="1006">
        <v>0</v>
      </c>
      <c r="J9" s="1006">
        <v>0</v>
      </c>
      <c r="K9" s="1006"/>
      <c r="L9" s="1012">
        <v>190.94400000000002</v>
      </c>
      <c r="M9" s="520">
        <f>L9*100/ $L$4</f>
        <v>0.39863880248021882</v>
      </c>
      <c r="N9" s="619">
        <f>[9]Maksumus260913!D34/1000</f>
        <v>140</v>
      </c>
      <c r="O9" s="522">
        <f>B9*[9]TJ_kytusehinnad!$B$39/1000+SUM(C9:E9)*[9]TJ_kytusehinnad!$B$47/1000</f>
        <v>7336.5472934981035</v>
      </c>
      <c r="P9" s="522">
        <f>B9*[9]TJ_kytusehinnad!$B$16/1000+SUM(C9:F9)*[9]TJ_kytusehinnad!$B$17/1000</f>
        <v>2222.6465104638487</v>
      </c>
      <c r="Q9" s="622"/>
      <c r="R9" s="1027"/>
      <c r="S9" s="523">
        <f>(N9+P9-O9-Q9)/L9</f>
        <v>-26.049002760150902</v>
      </c>
      <c r="T9" s="998">
        <f t="shared" si="2"/>
        <v>2362.6465104638487</v>
      </c>
      <c r="U9" s="998">
        <f t="shared" si="1"/>
        <v>140</v>
      </c>
      <c r="V9" s="530">
        <f>'[9]3 Koond_Sorteeritud_STSEN'!R23</f>
        <v>0.5</v>
      </c>
      <c r="W9" s="525">
        <f>$V$9*N9</f>
        <v>70</v>
      </c>
      <c r="X9" s="526">
        <f>$V$9*O9</f>
        <v>3668.2736467490517</v>
      </c>
      <c r="Y9" s="527">
        <f>$V$9*P9</f>
        <v>1111.3232552319243</v>
      </c>
      <c r="Z9" s="526">
        <f>$V$9*Q9</f>
        <v>0</v>
      </c>
      <c r="AA9" s="531">
        <f>'[9]3 Koond_Sorteeritud_STSEN'!P23</f>
        <v>95.472000000000008</v>
      </c>
      <c r="AB9" s="530">
        <f>'[9]3 Koond_Sorteeritud_STSEN'!S23</f>
        <v>1</v>
      </c>
      <c r="AC9" s="525">
        <f>$AB9*N9</f>
        <v>140</v>
      </c>
      <c r="AD9" s="526">
        <f>$AB9*O9</f>
        <v>7336.5472934981035</v>
      </c>
      <c r="AE9" s="527">
        <f>$AB9*P9</f>
        <v>2222.6465104638487</v>
      </c>
      <c r="AF9" s="526">
        <f>$AB9*Q9</f>
        <v>0</v>
      </c>
      <c r="AG9" s="621">
        <f>'[9]3 Koond_Sorteeritud_STSEN'!Q23</f>
        <v>190.94400000000002</v>
      </c>
    </row>
    <row r="10" spans="1:33" ht="15" hidden="1">
      <c r="A10"/>
      <c r="B10"/>
      <c r="C10"/>
      <c r="D10"/>
      <c r="E10"/>
      <c r="F10"/>
      <c r="G10"/>
      <c r="H10"/>
      <c r="I10"/>
      <c r="J10"/>
      <c r="K10"/>
      <c r="L10"/>
      <c r="M10" s="625"/>
      <c r="N10" s="626"/>
      <c r="O10" s="627"/>
      <c r="P10" s="627"/>
      <c r="Q10" s="628"/>
      <c r="R10" s="1028"/>
      <c r="S10" s="629"/>
      <c r="T10" s="998">
        <f t="shared" si="2"/>
        <v>0</v>
      </c>
      <c r="U10" s="998">
        <f t="shared" si="1"/>
        <v>0</v>
      </c>
      <c r="V10" s="630"/>
      <c r="W10" s="631"/>
      <c r="X10" s="632"/>
      <c r="Y10" s="632"/>
      <c r="Z10" s="632"/>
      <c r="AA10" s="633"/>
      <c r="AB10" s="630"/>
      <c r="AC10" s="631"/>
      <c r="AD10" s="632"/>
      <c r="AE10" s="632"/>
      <c r="AF10" s="632"/>
      <c r="AG10" s="634"/>
    </row>
    <row r="11" spans="1:33" ht="15.75" hidden="1" thickBot="1">
      <c r="T11" s="998">
        <f t="shared" si="2"/>
        <v>0</v>
      </c>
      <c r="U11" s="998">
        <f t="shared" si="1"/>
        <v>0</v>
      </c>
    </row>
    <row r="12" spans="1:33" s="485" customFormat="1" ht="15.75" hidden="1" thickBot="1">
      <c r="A12" s="537" t="s">
        <v>237</v>
      </c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9"/>
      <c r="M12" s="541"/>
      <c r="N12" s="541"/>
      <c r="O12" s="541"/>
      <c r="P12" s="541"/>
      <c r="Q12" s="997"/>
      <c r="R12" s="1029"/>
      <c r="S12" s="541"/>
      <c r="T12" s="998">
        <f t="shared" si="2"/>
        <v>0</v>
      </c>
      <c r="U12" s="998">
        <f t="shared" si="1"/>
        <v>0</v>
      </c>
      <c r="V12" s="543"/>
      <c r="W12" s="525"/>
      <c r="X12" s="544"/>
      <c r="Y12" s="545"/>
      <c r="Z12" s="521"/>
      <c r="AA12" s="546"/>
      <c r="AB12" s="543"/>
      <c r="AC12" s="525"/>
      <c r="AD12" s="544"/>
      <c r="AE12" s="545"/>
      <c r="AF12" s="521"/>
      <c r="AG12" s="621"/>
    </row>
    <row r="13" spans="1:33" ht="15" hidden="1" customHeight="1">
      <c r="M13" s="547"/>
      <c r="N13" s="548"/>
      <c r="O13" s="548"/>
      <c r="P13" s="548"/>
      <c r="Q13" s="548"/>
      <c r="R13" s="1030"/>
      <c r="S13" s="548"/>
      <c r="T13" s="998">
        <f t="shared" si="2"/>
        <v>0</v>
      </c>
      <c r="U13" s="998">
        <f t="shared" si="1"/>
        <v>0</v>
      </c>
      <c r="V13" s="549"/>
      <c r="W13" s="525"/>
      <c r="X13" s="526"/>
      <c r="Y13" s="527"/>
      <c r="Z13" s="522"/>
      <c r="AA13" s="531"/>
      <c r="AB13" s="549"/>
      <c r="AC13" s="525">
        <f t="shared" ref="AC13:AF14" si="3">$AB13*N13</f>
        <v>0</v>
      </c>
      <c r="AD13" s="526">
        <f t="shared" si="3"/>
        <v>0</v>
      </c>
      <c r="AE13" s="527">
        <f t="shared" si="3"/>
        <v>0</v>
      </c>
      <c r="AF13" s="522">
        <f t="shared" si="3"/>
        <v>0</v>
      </c>
      <c r="AG13" s="621"/>
    </row>
    <row r="14" spans="1:33" ht="15" hidden="1" customHeight="1">
      <c r="M14" s="547"/>
      <c r="N14" s="548"/>
      <c r="O14" s="548"/>
      <c r="P14" s="548"/>
      <c r="Q14" s="548"/>
      <c r="R14" s="1030"/>
      <c r="S14" s="548"/>
      <c r="T14" s="998">
        <f t="shared" si="2"/>
        <v>0</v>
      </c>
      <c r="U14" s="998">
        <f t="shared" si="1"/>
        <v>0</v>
      </c>
      <c r="V14" s="549"/>
      <c r="W14" s="525"/>
      <c r="X14" s="526"/>
      <c r="Y14" s="527"/>
      <c r="Z14" s="522"/>
      <c r="AA14" s="531"/>
      <c r="AB14" s="549"/>
      <c r="AC14" s="525">
        <f t="shared" si="3"/>
        <v>0</v>
      </c>
      <c r="AD14" s="526">
        <f t="shared" si="3"/>
        <v>0</v>
      </c>
      <c r="AE14" s="527">
        <f t="shared" si="3"/>
        <v>0</v>
      </c>
      <c r="AF14" s="522">
        <f t="shared" si="3"/>
        <v>0</v>
      </c>
      <c r="AG14" s="621"/>
    </row>
    <row r="15" spans="1:33" ht="15.75" hidden="1" customHeight="1" thickBot="1">
      <c r="A15" s="1126" t="s">
        <v>238</v>
      </c>
      <c r="B15" s="1126"/>
      <c r="C15" s="1126"/>
      <c r="D15" s="1126"/>
      <c r="E15" s="1126"/>
      <c r="F15" s="1126"/>
      <c r="G15" s="1126"/>
      <c r="H15" s="1126"/>
      <c r="I15" s="1126"/>
      <c r="J15" s="1126"/>
      <c r="K15" s="1126"/>
      <c r="L15" s="1126"/>
      <c r="M15" s="1126"/>
      <c r="N15" s="1135" t="s">
        <v>239</v>
      </c>
      <c r="O15" s="1136"/>
      <c r="P15" s="1136"/>
      <c r="Q15" s="1136"/>
      <c r="R15" s="1136"/>
      <c r="S15" s="1136"/>
      <c r="T15" s="998" t="e">
        <f t="shared" si="2"/>
        <v>#VALUE!</v>
      </c>
      <c r="U15" s="998" t="e">
        <f t="shared" si="1"/>
        <v>#VALUE!</v>
      </c>
      <c r="V15" s="549"/>
      <c r="W15" s="525"/>
      <c r="X15" s="526"/>
      <c r="Y15" s="527"/>
      <c r="Z15" s="522"/>
      <c r="AA15" s="531"/>
      <c r="AB15" s="549"/>
      <c r="AC15" s="525">
        <v>0</v>
      </c>
      <c r="AD15" s="526">
        <f>$AB15*O15</f>
        <v>0</v>
      </c>
      <c r="AE15" s="527">
        <f>$AB15*P15</f>
        <v>0</v>
      </c>
      <c r="AF15" s="522">
        <f>$AB15*Q15</f>
        <v>0</v>
      </c>
      <c r="AG15" s="621"/>
    </row>
    <row r="16" spans="1:33" ht="45.75" hidden="1" thickBot="1">
      <c r="A16" s="487"/>
      <c r="B16" s="488" t="s">
        <v>206</v>
      </c>
      <c r="C16" s="488" t="s">
        <v>207</v>
      </c>
      <c r="D16" s="488" t="s">
        <v>208</v>
      </c>
      <c r="E16" s="488" t="s">
        <v>209</v>
      </c>
      <c r="F16" s="488" t="s">
        <v>210</v>
      </c>
      <c r="G16" s="488" t="s">
        <v>211</v>
      </c>
      <c r="H16" s="488" t="s">
        <v>212</v>
      </c>
      <c r="I16" s="488" t="s">
        <v>213</v>
      </c>
      <c r="J16" s="488" t="s">
        <v>214</v>
      </c>
      <c r="K16" s="488" t="s">
        <v>215</v>
      </c>
      <c r="L16" s="489" t="s">
        <v>216</v>
      </c>
      <c r="M16" s="550" t="s">
        <v>217</v>
      </c>
      <c r="N16" s="552" t="s">
        <v>240</v>
      </c>
      <c r="O16" s="552" t="s">
        <v>225</v>
      </c>
      <c r="P16" s="552" t="s">
        <v>226</v>
      </c>
      <c r="Q16" s="552" t="s">
        <v>227</v>
      </c>
      <c r="R16" s="1031"/>
      <c r="S16" s="553" t="s">
        <v>228</v>
      </c>
      <c r="T16" s="998" t="e">
        <f t="shared" si="2"/>
        <v>#VALUE!</v>
      </c>
      <c r="U16" s="998" t="e">
        <f t="shared" si="1"/>
        <v>#VALUE!</v>
      </c>
      <c r="V16" s="549"/>
      <c r="W16" s="525"/>
      <c r="X16" s="526"/>
      <c r="Y16" s="527"/>
      <c r="Z16" s="554"/>
      <c r="AA16" s="531"/>
      <c r="AB16" s="549"/>
      <c r="AC16" s="525">
        <v>0</v>
      </c>
      <c r="AD16" s="526">
        <v>0</v>
      </c>
      <c r="AE16" s="527">
        <v>0</v>
      </c>
      <c r="AF16" s="554">
        <v>0</v>
      </c>
      <c r="AG16" s="621"/>
    </row>
    <row r="17" spans="1:34" ht="15" hidden="1">
      <c r="A17" s="557" t="s">
        <v>231</v>
      </c>
      <c r="B17" s="558">
        <v>3419.6182402275263</v>
      </c>
      <c r="C17" s="558"/>
      <c r="D17" s="558">
        <v>1382.7195239585544</v>
      </c>
      <c r="E17" s="558">
        <v>135.49666363795859</v>
      </c>
      <c r="F17" s="558">
        <v>-234.17147415281158</v>
      </c>
      <c r="G17" s="558">
        <v>68.976881803571132</v>
      </c>
      <c r="H17" s="558">
        <v>0</v>
      </c>
      <c r="I17" s="558"/>
      <c r="J17" s="558"/>
      <c r="K17" s="558">
        <v>0</v>
      </c>
      <c r="L17" s="559">
        <v>4772.6398354747989</v>
      </c>
      <c r="N17" s="522"/>
      <c r="O17" s="522"/>
      <c r="P17" s="522"/>
      <c r="Q17" s="522"/>
      <c r="R17" s="1027"/>
      <c r="S17" s="556"/>
      <c r="T17" s="998">
        <f t="shared" si="2"/>
        <v>0</v>
      </c>
      <c r="U17" s="998">
        <f t="shared" si="1"/>
        <v>0</v>
      </c>
      <c r="V17" s="549"/>
      <c r="W17" s="525"/>
      <c r="X17" s="526"/>
      <c r="Y17" s="527"/>
      <c r="Z17" s="522"/>
      <c r="AA17" s="531"/>
      <c r="AB17" s="549"/>
      <c r="AC17" s="525">
        <f>$AB17*N17</f>
        <v>0</v>
      </c>
      <c r="AD17" s="526">
        <f>$AB17*O17</f>
        <v>0</v>
      </c>
      <c r="AE17" s="527">
        <f>$AB17*P17</f>
        <v>0</v>
      </c>
      <c r="AF17" s="522">
        <f>$AB17*Q17</f>
        <v>0</v>
      </c>
      <c r="AG17" s="621"/>
    </row>
    <row r="18" spans="1:34" ht="15">
      <c r="A18" s="560" t="s">
        <v>242</v>
      </c>
      <c r="B18" s="517">
        <v>4773.6000000000004</v>
      </c>
      <c r="C18" s="517">
        <v>731.08</v>
      </c>
      <c r="D18" s="517"/>
      <c r="E18" s="517">
        <v>-404.40000000000003</v>
      </c>
      <c r="F18" s="517"/>
      <c r="G18" s="517"/>
      <c r="H18" s="517"/>
      <c r="I18" s="517"/>
      <c r="J18" s="517"/>
      <c r="K18" s="517"/>
      <c r="L18" s="518">
        <v>5100.2800000000007</v>
      </c>
      <c r="M18" s="520">
        <f t="shared" ref="M18:M25" si="4">L18*100/ $L$4</f>
        <v>10.647988475751061</v>
      </c>
      <c r="N18" s="522">
        <v>50000</v>
      </c>
      <c r="O18" s="522">
        <f>B18*[9]TJ_kytusehinnad!$B$39/1000+SUM(C18:E18)*[9]TJ_kytusehinnad!$B$47/1000</f>
        <v>193871.09503619751</v>
      </c>
      <c r="P18" s="522">
        <f>B18*[9]TJ_kytusehinnad!$B$16/1000+SUM(C18:F18)*[9]TJ_kytusehinnad!$B$17/1000</f>
        <v>58926.058231202282</v>
      </c>
      <c r="Q18" s="522">
        <v>250000</v>
      </c>
      <c r="R18" s="556">
        <f>182000/10</f>
        <v>18200</v>
      </c>
      <c r="S18" s="523">
        <f t="shared" ref="S18:S25" si="5">(N18+P18-O18-Q18)/L18</f>
        <v>-65.671891897110598</v>
      </c>
      <c r="T18" s="998">
        <f t="shared" si="2"/>
        <v>-141073.94176879773</v>
      </c>
      <c r="U18" s="998">
        <f t="shared" si="1"/>
        <v>-200000</v>
      </c>
      <c r="V18" s="530">
        <f>'[9]3 Koond_Sorteeritud_STSEN'!R4</f>
        <v>0.3</v>
      </c>
      <c r="W18" s="525">
        <f>$V$18*N18</f>
        <v>15000</v>
      </c>
      <c r="X18" s="526">
        <f>$V$18*O18</f>
        <v>58161.328510859254</v>
      </c>
      <c r="Y18" s="527">
        <f>$V$18*P18</f>
        <v>17677.817469360685</v>
      </c>
      <c r="Z18" s="526">
        <f>$V$18*Q18</f>
        <v>75000</v>
      </c>
      <c r="AA18" s="531">
        <f>'[9]3 Koond_Sorteeritud_STSEN'!P4</f>
        <v>1530.0840000000001</v>
      </c>
      <c r="AB18" s="530">
        <f>'[9]3 Koond_Sorteeritud_STSEN'!S4</f>
        <v>1</v>
      </c>
      <c r="AC18" s="525">
        <f>$AB18*N18-AC22</f>
        <v>37000</v>
      </c>
      <c r="AD18" s="526">
        <f t="shared" ref="AD18:AE25" si="6">$AB18*O18</f>
        <v>193871.09503619751</v>
      </c>
      <c r="AE18" s="527">
        <f t="shared" si="6"/>
        <v>58926.058231202282</v>
      </c>
      <c r="AF18" s="526">
        <f>$AB18*Q18-AF22</f>
        <v>177000</v>
      </c>
      <c r="AG18" s="621">
        <f>'[9]3 Koond_Sorteeritud_STSEN'!Q4</f>
        <v>5100.2800000000007</v>
      </c>
      <c r="AH18" s="711" t="s">
        <v>283</v>
      </c>
    </row>
    <row r="19" spans="1:34" ht="15">
      <c r="A19" s="561" t="s">
        <v>243</v>
      </c>
      <c r="B19" s="562">
        <v>1670.7600000000002</v>
      </c>
      <c r="C19" s="562">
        <v>0</v>
      </c>
      <c r="D19" s="562">
        <v>0</v>
      </c>
      <c r="E19" s="562">
        <v>0</v>
      </c>
      <c r="F19" s="562"/>
      <c r="G19" s="562"/>
      <c r="H19" s="562"/>
      <c r="I19" s="562"/>
      <c r="J19" s="562">
        <v>0</v>
      </c>
      <c r="K19" s="562"/>
      <c r="L19" s="563">
        <v>1670.7600000000002</v>
      </c>
      <c r="M19" s="520">
        <f t="shared" si="4"/>
        <v>3.488089521701915</v>
      </c>
      <c r="N19" s="522">
        <v>0</v>
      </c>
      <c r="O19" s="522">
        <f>B19*[9]TJ_kytusehinnad!$B$39/1000+SUM(C19:E19)*[9]TJ_kytusehinnad!$B$47/1000</f>
        <v>64194.788818108413</v>
      </c>
      <c r="P19" s="522">
        <f>B19*[9]TJ_kytusehinnad!$B$16/1000+SUM(C19:F19)*[9]TJ_kytusehinnad!$B$17/1000</f>
        <v>19448.156966558679</v>
      </c>
      <c r="Q19" s="522">
        <v>70000</v>
      </c>
      <c r="R19" s="556"/>
      <c r="S19" s="523">
        <f t="shared" si="5"/>
        <v>-68.679302743392057</v>
      </c>
      <c r="T19" s="998">
        <f t="shared" si="2"/>
        <v>-50551.843033441321</v>
      </c>
      <c r="U19" s="998">
        <f t="shared" si="1"/>
        <v>-70000</v>
      </c>
      <c r="V19" s="530">
        <f>'[9]3 Koond_Sorteeritud_STSEN'!R6</f>
        <v>0.25</v>
      </c>
      <c r="W19" s="525">
        <f>$V$19*N19</f>
        <v>0</v>
      </c>
      <c r="X19" s="526">
        <f>$V$19*O19</f>
        <v>16048.697204527103</v>
      </c>
      <c r="Y19" s="527">
        <f>$V$19*P19</f>
        <v>4862.0392416396699</v>
      </c>
      <c r="Z19" s="526">
        <f>$V$19*Q19</f>
        <v>17500</v>
      </c>
      <c r="AA19" s="531">
        <f>'[9]3 Koond_Sorteeritud_STSEN'!P6</f>
        <v>417.69000000000005</v>
      </c>
      <c r="AB19" s="530">
        <f>'[9]3 Koond_Sorteeritud_STSEN'!S6</f>
        <v>0</v>
      </c>
      <c r="AC19" s="525">
        <f t="shared" ref="AC19:AC25" si="7">$AB19*N19</f>
        <v>0</v>
      </c>
      <c r="AD19" s="526">
        <f t="shared" si="6"/>
        <v>0</v>
      </c>
      <c r="AE19" s="527">
        <f t="shared" si="6"/>
        <v>0</v>
      </c>
      <c r="AF19" s="526">
        <f t="shared" ref="AF19:AF25" si="8">$AB19*Q19</f>
        <v>0</v>
      </c>
      <c r="AG19" s="621">
        <f>'[9]3 Koond_Sorteeritud_STSEN'!Q6</f>
        <v>0</v>
      </c>
    </row>
    <row r="20" spans="1:34" ht="15">
      <c r="A20" s="564" t="s">
        <v>244</v>
      </c>
      <c r="B20" s="565">
        <v>1670.7600000000002</v>
      </c>
      <c r="C20" s="565"/>
      <c r="D20" s="565"/>
      <c r="E20" s="565"/>
      <c r="F20" s="565"/>
      <c r="G20" s="565"/>
      <c r="H20" s="565"/>
      <c r="I20" s="565">
        <v>0</v>
      </c>
      <c r="J20" s="565">
        <v>0</v>
      </c>
      <c r="K20" s="565"/>
      <c r="L20" s="566">
        <v>1670.7600000000002</v>
      </c>
      <c r="M20" s="520">
        <f t="shared" si="4"/>
        <v>3.488089521701915</v>
      </c>
      <c r="N20" s="522">
        <v>200</v>
      </c>
      <c r="O20" s="522">
        <f>B20*[9]TJ_kytusehinnad!$B$39/1000+SUM(C20:E20)*[9]TJ_kytusehinnad!$B$47/1000</f>
        <v>64194.788818108413</v>
      </c>
      <c r="P20" s="522">
        <f>B20*[9]TJ_kytusehinnad!$B$16/1000+SUM(C20:F20)*[9]TJ_kytusehinnad!$B$17/1000</f>
        <v>19448.156966558679</v>
      </c>
      <c r="Q20" s="522">
        <v>80000</v>
      </c>
      <c r="R20" s="556">
        <f>182000/10</f>
        <v>18200</v>
      </c>
      <c r="S20" s="523">
        <f t="shared" si="5"/>
        <v>-74.544896844280274</v>
      </c>
      <c r="T20" s="998">
        <f t="shared" si="2"/>
        <v>-60351.843033441321</v>
      </c>
      <c r="U20" s="998">
        <f t="shared" si="1"/>
        <v>-79800</v>
      </c>
      <c r="V20" s="530">
        <f>'[9]3 Koond_Sorteeritud_STSEN'!R7</f>
        <v>0</v>
      </c>
      <c r="W20" s="525">
        <f>$V$20*N20</f>
        <v>0</v>
      </c>
      <c r="X20" s="526">
        <f>$V$20*O20</f>
        <v>0</v>
      </c>
      <c r="Y20" s="527">
        <f>$V$20*P20</f>
        <v>0</v>
      </c>
      <c r="Z20" s="526">
        <f>$V$20*Q20</f>
        <v>0</v>
      </c>
      <c r="AA20" s="531">
        <f>'[9]3 Koond_Sorteeritud_STSEN'!P7</f>
        <v>0</v>
      </c>
      <c r="AB20" s="530">
        <f>'[9]3 Koond_Sorteeritud_STSEN'!S7</f>
        <v>0</v>
      </c>
      <c r="AC20" s="525">
        <f t="shared" si="7"/>
        <v>0</v>
      </c>
      <c r="AD20" s="526">
        <f t="shared" si="6"/>
        <v>0</v>
      </c>
      <c r="AE20" s="527">
        <f t="shared" si="6"/>
        <v>0</v>
      </c>
      <c r="AF20" s="526">
        <f t="shared" si="8"/>
        <v>0</v>
      </c>
      <c r="AG20" s="621">
        <f>'[9]3 Koond_Sorteeritud_STSEN'!Q7</f>
        <v>0</v>
      </c>
    </row>
    <row r="21" spans="1:34" ht="15">
      <c r="A21" s="567" t="s">
        <v>245</v>
      </c>
      <c r="B21" s="568">
        <v>1117.0224000000001</v>
      </c>
      <c r="C21" s="568"/>
      <c r="D21" s="568"/>
      <c r="E21" s="568"/>
      <c r="F21" s="568"/>
      <c r="G21" s="568"/>
      <c r="H21" s="568"/>
      <c r="I21" s="568">
        <v>-17726.374742543998</v>
      </c>
      <c r="J21" s="568">
        <v>17726.374742543998</v>
      </c>
      <c r="K21" s="568"/>
      <c r="L21" s="569">
        <v>1117.0224000000017</v>
      </c>
      <c r="M21" s="520">
        <f t="shared" si="4"/>
        <v>2.3320369945092834</v>
      </c>
      <c r="N21" s="522">
        <v>2400</v>
      </c>
      <c r="O21" s="522">
        <f>B21*[9]TJ_kytusehinnad!$B$39/1000+SUM(C21:E21)*[9]TJ_kytusehinnad!$B$47/1000</f>
        <v>42918.801666963904</v>
      </c>
      <c r="P21" s="522">
        <f>B22*[9]TJ_kytusehinnad!$B$16/1000+SUM(C22:F22)*[9]TJ_kytusehinnad!$B$17/1000</f>
        <v>14704.015050806753</v>
      </c>
      <c r="Q21" s="522">
        <v>24000</v>
      </c>
      <c r="R21" s="556">
        <f>182000/10</f>
        <v>18200</v>
      </c>
      <c r="S21" s="523">
        <f t="shared" si="5"/>
        <v>-44.596049834056217</v>
      </c>
      <c r="T21" s="998">
        <f t="shared" si="2"/>
        <v>-6895.9849491932473</v>
      </c>
      <c r="U21" s="998">
        <f t="shared" si="1"/>
        <v>-21600</v>
      </c>
      <c r="V21" s="530">
        <f>'[9]3 Koond_Sorteeritud_STSEN'!R10</f>
        <v>0.1</v>
      </c>
      <c r="W21" s="525">
        <f>$V$21*N21</f>
        <v>240</v>
      </c>
      <c r="X21" s="526">
        <f>$V$21*O21</f>
        <v>4291.8801666963909</v>
      </c>
      <c r="Y21" s="527">
        <f>$V$21*P21</f>
        <v>1470.4015050806754</v>
      </c>
      <c r="Z21" s="526">
        <f>$V$21*Q21</f>
        <v>2400</v>
      </c>
      <c r="AA21" s="531">
        <f>'[9]3 Koond_Sorteeritud_STSEN'!P10</f>
        <v>111.70224000000017</v>
      </c>
      <c r="AB21" s="530">
        <f>'[9]3 Koond_Sorteeritud_STSEN'!S10</f>
        <v>1</v>
      </c>
      <c r="AC21" s="525">
        <f t="shared" si="7"/>
        <v>2400</v>
      </c>
      <c r="AD21" s="526">
        <f t="shared" si="6"/>
        <v>42918.801666963904</v>
      </c>
      <c r="AE21" s="527">
        <f t="shared" si="6"/>
        <v>14704.015050806753</v>
      </c>
      <c r="AF21" s="526">
        <f t="shared" si="8"/>
        <v>24000</v>
      </c>
      <c r="AG21" s="621">
        <f>'[9]3 Koond_Sorteeritud_STSEN'!Q10</f>
        <v>1117.0224000000017</v>
      </c>
    </row>
    <row r="22" spans="1:34" ht="15">
      <c r="A22" s="570" t="s">
        <v>246</v>
      </c>
      <c r="B22" s="568">
        <v>761.4819123417642</v>
      </c>
      <c r="C22" s="568">
        <v>341.74786507403473</v>
      </c>
      <c r="D22" s="568">
        <v>226.08367310195953</v>
      </c>
      <c r="E22" s="568"/>
      <c r="F22" s="568"/>
      <c r="G22" s="568"/>
      <c r="H22" s="568"/>
      <c r="I22" s="568">
        <v>-6848.470026020681</v>
      </c>
      <c r="J22" s="568">
        <v>6848.470026020681</v>
      </c>
      <c r="K22" s="568"/>
      <c r="L22" s="569">
        <v>1329.3134505177586</v>
      </c>
      <c r="M22" s="520">
        <f t="shared" si="4"/>
        <v>2.7752425948720405</v>
      </c>
      <c r="N22" s="619">
        <v>13000</v>
      </c>
      <c r="O22" s="522">
        <f>B22*[9]TJ_kytusehinnad!$B$39/1000+SUM(C22:E22)*[9]TJ_kytusehinnad!$B$47/1000</f>
        <v>47435.002875395578</v>
      </c>
      <c r="P22" s="522">
        <f>B22*[9]TJ_kytusehinnad!$B$16/1000+SUM(C22:F22)*[9]TJ_kytusehinnad!$B$17/1000</f>
        <v>14704.015050806753</v>
      </c>
      <c r="Q22" s="522">
        <v>73000</v>
      </c>
      <c r="R22" s="556">
        <f>182000/10</f>
        <v>18200</v>
      </c>
      <c r="S22" s="523">
        <f>(N22+P22-O22-Q22-R22)/L22</f>
        <v>-83.449834786055874</v>
      </c>
      <c r="T22" s="998">
        <f t="shared" si="2"/>
        <v>-45295.984949193247</v>
      </c>
      <c r="U22" s="998">
        <f t="shared" si="1"/>
        <v>-60000</v>
      </c>
      <c r="V22" s="530">
        <f>'[9]3 Koond_Sorteeritud_STSEN'!R11</f>
        <v>0</v>
      </c>
      <c r="W22" s="525">
        <f>$V$22*N22</f>
        <v>0</v>
      </c>
      <c r="X22" s="526">
        <f>$V$22*O22</f>
        <v>0</v>
      </c>
      <c r="Y22" s="527">
        <f>$V$22*P22</f>
        <v>0</v>
      </c>
      <c r="Z22" s="526">
        <f>$V$22*Q22</f>
        <v>0</v>
      </c>
      <c r="AA22" s="531">
        <f>'[9]3 Koond_Sorteeritud_STSEN'!P11</f>
        <v>0</v>
      </c>
      <c r="AB22" s="530">
        <f>'[9]3 Koond_Sorteeritud_STSEN'!S11</f>
        <v>1</v>
      </c>
      <c r="AC22" s="525">
        <f t="shared" si="7"/>
        <v>13000</v>
      </c>
      <c r="AD22" s="526">
        <f t="shared" si="6"/>
        <v>47435.002875395578</v>
      </c>
      <c r="AE22" s="527">
        <f t="shared" si="6"/>
        <v>14704.015050806753</v>
      </c>
      <c r="AF22" s="526">
        <f t="shared" si="8"/>
        <v>73000</v>
      </c>
      <c r="AG22" s="621">
        <f>'[9]3 Koond_Sorteeritud_STSEN'!Q11</f>
        <v>1329.3134505177586</v>
      </c>
      <c r="AH22" s="712"/>
    </row>
    <row r="23" spans="1:34" ht="15">
      <c r="A23" s="570" t="s">
        <v>247</v>
      </c>
      <c r="B23" s="517">
        <v>596.70000000000005</v>
      </c>
      <c r="C23" s="517">
        <v>261.10000000000002</v>
      </c>
      <c r="D23" s="517">
        <v>261.10000000000002</v>
      </c>
      <c r="E23" s="517">
        <v>25.275000000000002</v>
      </c>
      <c r="F23" s="517"/>
      <c r="G23" s="517"/>
      <c r="H23" s="517"/>
      <c r="I23" s="517">
        <v>-4732.9370962499997</v>
      </c>
      <c r="J23" s="517">
        <v>4732.9370962499997</v>
      </c>
      <c r="K23" s="517"/>
      <c r="L23" s="518">
        <v>1144.1750000000002</v>
      </c>
      <c r="M23" s="520">
        <f t="shared" si="4"/>
        <v>2.3887241904841439</v>
      </c>
      <c r="N23" s="522"/>
      <c r="O23" s="522">
        <f>B23*[9]TJ_kytusehinnad!$B$39/1000+SUM(C23:E23)*[9]TJ_kytusehinnad!$B$47/1000</f>
        <v>40452.031760423808</v>
      </c>
      <c r="P23" s="522">
        <f>B23*[9]TJ_kytusehinnad!$B$16/1000+SUM(C23:F23)*[9]TJ_kytusehinnad!$B$17/1000</f>
        <v>12576.536759496626</v>
      </c>
      <c r="Q23" s="522">
        <v>70000</v>
      </c>
      <c r="R23" s="556">
        <f>182000/10</f>
        <v>18200</v>
      </c>
      <c r="S23" s="523">
        <f t="shared" si="5"/>
        <v>-85.542417026177958</v>
      </c>
      <c r="T23" s="998">
        <f t="shared" si="2"/>
        <v>-57423.463240503377</v>
      </c>
      <c r="U23" s="998">
        <f t="shared" si="1"/>
        <v>-70000</v>
      </c>
      <c r="V23" s="530">
        <f>'[9]3 Koond_Sorteeritud_STSEN'!R12</f>
        <v>0.3</v>
      </c>
      <c r="W23" s="525">
        <f>$V$23*N23</f>
        <v>0</v>
      </c>
      <c r="X23" s="526">
        <f>$V$23*O23</f>
        <v>12135.609528127143</v>
      </c>
      <c r="Y23" s="527">
        <f>$V$23*P23</f>
        <v>3772.9610278489877</v>
      </c>
      <c r="Z23" s="526">
        <f>$V$23*Q23</f>
        <v>21000</v>
      </c>
      <c r="AA23" s="531">
        <f>'[9]3 Koond_Sorteeritud_STSEN'!P12</f>
        <v>343.25250000000005</v>
      </c>
      <c r="AB23" s="530">
        <f>'[9]3 Koond_Sorteeritud_STSEN'!S12</f>
        <v>0</v>
      </c>
      <c r="AC23" s="525">
        <f t="shared" si="7"/>
        <v>0</v>
      </c>
      <c r="AD23" s="526">
        <f t="shared" si="6"/>
        <v>0</v>
      </c>
      <c r="AE23" s="527">
        <f t="shared" si="6"/>
        <v>0</v>
      </c>
      <c r="AF23" s="526">
        <f t="shared" si="8"/>
        <v>0</v>
      </c>
      <c r="AG23" s="621">
        <f>'[9]3 Koond_Sorteeritud_STSEN'!Q12</f>
        <v>0</v>
      </c>
    </row>
    <row r="24" spans="1:34" ht="15">
      <c r="A24" s="570" t="s">
        <v>248</v>
      </c>
      <c r="B24" s="568"/>
      <c r="C24" s="568"/>
      <c r="D24" s="568">
        <v>313.32</v>
      </c>
      <c r="E24" s="568"/>
      <c r="F24" s="568"/>
      <c r="G24" s="568"/>
      <c r="H24" s="568"/>
      <c r="I24" s="568">
        <v>0</v>
      </c>
      <c r="J24" s="568">
        <v>0</v>
      </c>
      <c r="K24" s="568"/>
      <c r="L24" s="569">
        <v>313.32</v>
      </c>
      <c r="M24" s="520">
        <f t="shared" si="4"/>
        <v>0.65412639094761893</v>
      </c>
      <c r="N24" s="619">
        <v>12000</v>
      </c>
      <c r="O24" s="522">
        <f>B24*[9]TJ_kytusehinnad!$B$39/1000+SUM(C24:E24)*[9]TJ_kytusehinnad!$B$47/1000</f>
        <v>10029.743316917949</v>
      </c>
      <c r="P24" s="522">
        <f>B24*[9]TJ_kytusehinnad!$B$16/1000+SUM(C24:F24)*[9]TJ_kytusehinnad!$B$17/1000</f>
        <v>3222.4882102882621</v>
      </c>
      <c r="Q24" s="522">
        <v>60000</v>
      </c>
      <c r="R24" s="556"/>
      <c r="S24" s="523">
        <f t="shared" si="5"/>
        <v>-174.92421520052881</v>
      </c>
      <c r="T24" s="998">
        <f t="shared" si="2"/>
        <v>-44777.511789711738</v>
      </c>
      <c r="U24" s="998">
        <f t="shared" si="1"/>
        <v>-48000</v>
      </c>
      <c r="V24" s="530">
        <f>'[9]3 Koond_Sorteeritud_STSEN'!R20</f>
        <v>1</v>
      </c>
      <c r="W24" s="525">
        <f>$V$24*N24</f>
        <v>12000</v>
      </c>
      <c r="X24" s="526">
        <f>$V$24*O24</f>
        <v>10029.743316917949</v>
      </c>
      <c r="Y24" s="527">
        <f>$V$24*P24</f>
        <v>3222.4882102882621</v>
      </c>
      <c r="Z24" s="526">
        <f>$V$24*Q24</f>
        <v>60000</v>
      </c>
      <c r="AA24" s="531">
        <f>'[9]3 Koond_Sorteeritud_STSEN'!P20</f>
        <v>313.32</v>
      </c>
      <c r="AB24" s="530">
        <f>'[9]3 Koond_Sorteeritud_STSEN'!S20</f>
        <v>1</v>
      </c>
      <c r="AC24" s="525">
        <f t="shared" si="7"/>
        <v>12000</v>
      </c>
      <c r="AD24" s="526">
        <f t="shared" si="6"/>
        <v>10029.743316917949</v>
      </c>
      <c r="AE24" s="527">
        <f t="shared" si="6"/>
        <v>3222.4882102882621</v>
      </c>
      <c r="AF24" s="526">
        <f t="shared" si="8"/>
        <v>60000</v>
      </c>
      <c r="AG24" s="621">
        <f>'[9]3 Koond_Sorteeritud_STSEN'!Q20</f>
        <v>313.32</v>
      </c>
      <c r="AH24" s="712"/>
    </row>
    <row r="25" spans="1:34" ht="15.75" thickBot="1">
      <c r="A25" s="572" t="s">
        <v>249</v>
      </c>
      <c r="B25" s="534">
        <v>64.186751984303385</v>
      </c>
      <c r="C25" s="534"/>
      <c r="D25" s="534"/>
      <c r="E25" s="534"/>
      <c r="F25" s="534"/>
      <c r="G25" s="534"/>
      <c r="H25" s="534"/>
      <c r="I25" s="534">
        <v>4793.6932174222811</v>
      </c>
      <c r="J25" s="534">
        <v>-4793.6932174222811</v>
      </c>
      <c r="K25" s="534"/>
      <c r="L25" s="535">
        <v>64.186751984303555</v>
      </c>
      <c r="M25" s="520">
        <f t="shared" si="4"/>
        <v>0.13400436749056047</v>
      </c>
      <c r="N25" s="522">
        <f>'[9]Maksumus_Raudtee jt meetmed'!B53</f>
        <v>5609.9076923076918</v>
      </c>
      <c r="O25" s="522">
        <f>B25*[9]TJ_kytusehinnad!$B$39/1000+SUM(C25:E25)*[9]TJ_kytusehinnad!$B$47/1000</f>
        <v>2466.215966717336</v>
      </c>
      <c r="P25" s="522">
        <f>B25*[9]TJ_kytusehinnad!$B$16/1000+SUM(C26:F26)*[9]TJ_kytusehinnad!$B$17/1000</f>
        <v>747.15340788880735</v>
      </c>
      <c r="Q25" s="522"/>
      <c r="R25" s="556"/>
      <c r="S25" s="523">
        <f t="shared" si="5"/>
        <v>60.617573147035749</v>
      </c>
      <c r="T25" s="998">
        <f t="shared" si="2"/>
        <v>6357.061100196499</v>
      </c>
      <c r="U25" s="998">
        <f t="shared" si="1"/>
        <v>5609.9076923076918</v>
      </c>
      <c r="V25" s="530">
        <f>'[9]3 Koond_Sorteeritud_STSEN'!R26</f>
        <v>0.5</v>
      </c>
      <c r="W25" s="525">
        <f>$V$25*N25</f>
        <v>2804.9538461538459</v>
      </c>
      <c r="X25" s="526">
        <f>$V$25*O25</f>
        <v>1233.107983358668</v>
      </c>
      <c r="Y25" s="527">
        <f>$V$25*P25</f>
        <v>373.57670394440368</v>
      </c>
      <c r="Z25" s="526">
        <f>$V$25*Q25</f>
        <v>0</v>
      </c>
      <c r="AA25" s="531">
        <f>'[9]3 Koond_Sorteeritud_STSEN'!P26</f>
        <v>32.093375992151778</v>
      </c>
      <c r="AB25" s="530">
        <f>'[9]3 Koond_Sorteeritud_STSEN'!S26</f>
        <v>0.1</v>
      </c>
      <c r="AC25" s="525">
        <f t="shared" si="7"/>
        <v>560.99076923076916</v>
      </c>
      <c r="AD25" s="526">
        <f t="shared" si="6"/>
        <v>246.62159667173361</v>
      </c>
      <c r="AE25" s="527">
        <f t="shared" si="6"/>
        <v>74.715340788880738</v>
      </c>
      <c r="AF25" s="526">
        <f t="shared" si="8"/>
        <v>0</v>
      </c>
      <c r="AG25" s="621">
        <f>'[9]3 Koond_Sorteeritud_STSEN'!Q26</f>
        <v>6.4186751984303561</v>
      </c>
    </row>
    <row r="26" spans="1:34" ht="15.75" hidden="1" thickBot="1">
      <c r="R26" s="486"/>
      <c r="T26" s="998">
        <f t="shared" si="2"/>
        <v>0</v>
      </c>
      <c r="U26" s="998">
        <f t="shared" si="1"/>
        <v>0</v>
      </c>
    </row>
    <row r="27" spans="1:34" s="485" customFormat="1" ht="15.75" hidden="1" thickBot="1">
      <c r="A27" s="573" t="s">
        <v>250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74"/>
      <c r="M27" s="575"/>
      <c r="N27" s="997"/>
      <c r="O27" s="575"/>
      <c r="P27" s="997"/>
      <c r="Q27" s="575"/>
      <c r="R27" s="1018"/>
      <c r="S27" s="997"/>
      <c r="T27" s="998">
        <f t="shared" si="2"/>
        <v>0</v>
      </c>
      <c r="U27" s="998">
        <f t="shared" si="1"/>
        <v>0</v>
      </c>
      <c r="V27" s="543"/>
      <c r="W27" s="525"/>
      <c r="X27" s="544"/>
      <c r="Y27" s="545"/>
      <c r="Z27" s="521"/>
      <c r="AA27" s="546"/>
      <c r="AB27" s="543"/>
      <c r="AC27" s="525"/>
      <c r="AD27" s="544"/>
      <c r="AE27" s="545"/>
      <c r="AF27" s="521"/>
      <c r="AG27" s="621"/>
    </row>
    <row r="28" spans="1:34" ht="15" hidden="1" customHeight="1">
      <c r="M28" s="547"/>
      <c r="N28" s="548"/>
      <c r="O28" s="548"/>
      <c r="P28" s="548"/>
      <c r="Q28" s="548"/>
      <c r="R28" s="548"/>
      <c r="S28" s="548"/>
      <c r="T28" s="998">
        <f t="shared" si="2"/>
        <v>0</v>
      </c>
      <c r="U28" s="998">
        <f t="shared" si="1"/>
        <v>0</v>
      </c>
      <c r="V28" s="549"/>
      <c r="W28" s="525"/>
      <c r="X28" s="526"/>
      <c r="Y28" s="527"/>
      <c r="Z28" s="522"/>
      <c r="AA28" s="531"/>
      <c r="AB28" s="549"/>
      <c r="AC28" s="525"/>
      <c r="AD28" s="526"/>
      <c r="AE28" s="527"/>
      <c r="AF28" s="522"/>
      <c r="AG28" s="621"/>
    </row>
    <row r="29" spans="1:34" ht="15.75" hidden="1" customHeight="1" thickBot="1">
      <c r="A29" s="1126" t="s">
        <v>251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548"/>
      <c r="O29" s="548"/>
      <c r="P29" s="548"/>
      <c r="Q29" s="548"/>
      <c r="R29" s="548"/>
      <c r="S29" s="548"/>
      <c r="T29" s="998">
        <f t="shared" si="2"/>
        <v>0</v>
      </c>
      <c r="U29" s="998">
        <f t="shared" si="1"/>
        <v>0</v>
      </c>
      <c r="V29" s="549"/>
      <c r="W29" s="525"/>
      <c r="X29" s="526"/>
      <c r="Y29" s="527"/>
      <c r="Z29" s="522"/>
      <c r="AA29" s="531"/>
      <c r="AB29" s="549"/>
      <c r="AC29" s="525"/>
      <c r="AD29" s="526"/>
      <c r="AE29" s="527"/>
      <c r="AF29" s="522"/>
      <c r="AG29" s="621"/>
    </row>
    <row r="30" spans="1:34" ht="45.75" hidden="1" thickBot="1">
      <c r="A30" s="487"/>
      <c r="B30" s="488" t="s">
        <v>206</v>
      </c>
      <c r="C30" s="488" t="s">
        <v>207</v>
      </c>
      <c r="D30" s="488" t="s">
        <v>208</v>
      </c>
      <c r="E30" s="488" t="s">
        <v>209</v>
      </c>
      <c r="F30" s="488" t="s">
        <v>210</v>
      </c>
      <c r="G30" s="488" t="s">
        <v>211</v>
      </c>
      <c r="H30" s="488" t="s">
        <v>212</v>
      </c>
      <c r="I30" s="488" t="s">
        <v>213</v>
      </c>
      <c r="J30" s="488" t="s">
        <v>214</v>
      </c>
      <c r="K30" s="488" t="s">
        <v>215</v>
      </c>
      <c r="L30" s="489" t="s">
        <v>216</v>
      </c>
      <c r="M30" s="550" t="s">
        <v>217</v>
      </c>
      <c r="N30" s="552" t="s">
        <v>224</v>
      </c>
      <c r="O30" s="552" t="s">
        <v>225</v>
      </c>
      <c r="P30" s="552" t="s">
        <v>226</v>
      </c>
      <c r="Q30" s="552" t="s">
        <v>227</v>
      </c>
      <c r="R30" s="553"/>
      <c r="S30" s="553" t="s">
        <v>228</v>
      </c>
      <c r="T30" s="998" t="e">
        <f t="shared" si="2"/>
        <v>#VALUE!</v>
      </c>
      <c r="U30" s="998" t="e">
        <f t="shared" si="1"/>
        <v>#VALUE!</v>
      </c>
      <c r="V30" s="549"/>
      <c r="W30" s="525"/>
      <c r="X30" s="526"/>
      <c r="Y30" s="527"/>
      <c r="Z30" s="554"/>
      <c r="AA30" s="531"/>
      <c r="AB30" s="549"/>
      <c r="AC30" s="525"/>
      <c r="AD30" s="526"/>
      <c r="AE30" s="527"/>
      <c r="AF30" s="554"/>
      <c r="AG30" s="621"/>
    </row>
    <row r="31" spans="1:34" ht="15" hidden="1">
      <c r="A31" s="577" t="s">
        <v>231</v>
      </c>
      <c r="B31" s="558">
        <v>3419.6182402275263</v>
      </c>
      <c r="C31" s="558"/>
      <c r="D31" s="558">
        <v>1382.7195239585544</v>
      </c>
      <c r="E31" s="558">
        <v>135.49666363795859</v>
      </c>
      <c r="F31" s="558">
        <v>-234.17147415281158</v>
      </c>
      <c r="G31" s="558">
        <v>68.976881803571132</v>
      </c>
      <c r="H31" s="558">
        <v>0</v>
      </c>
      <c r="I31" s="558"/>
      <c r="J31" s="558"/>
      <c r="K31" s="558">
        <v>0</v>
      </c>
      <c r="L31" s="559">
        <v>4772.6398354747989</v>
      </c>
      <c r="M31" s="555"/>
      <c r="N31" s="522"/>
      <c r="O31" s="522"/>
      <c r="P31" s="522"/>
      <c r="Q31" s="522"/>
      <c r="R31" s="556"/>
      <c r="S31" s="556"/>
      <c r="T31" s="998">
        <f t="shared" si="2"/>
        <v>0</v>
      </c>
      <c r="U31" s="998">
        <f t="shared" si="1"/>
        <v>0</v>
      </c>
      <c r="V31" s="549"/>
      <c r="W31" s="525"/>
      <c r="X31" s="526"/>
      <c r="Y31" s="527"/>
      <c r="Z31" s="522"/>
      <c r="AA31" s="531"/>
      <c r="AB31" s="549"/>
      <c r="AC31" s="525"/>
      <c r="AD31" s="526"/>
      <c r="AE31" s="527"/>
      <c r="AF31" s="522"/>
      <c r="AG31" s="621"/>
    </row>
    <row r="32" spans="1:34" ht="15.75" thickBot="1">
      <c r="A32" s="560" t="s">
        <v>252</v>
      </c>
      <c r="B32" s="517"/>
      <c r="C32" s="517"/>
      <c r="D32" s="517"/>
      <c r="E32" s="517"/>
      <c r="F32" s="517">
        <v>71.559633027522921</v>
      </c>
      <c r="G32" s="517">
        <v>387.54935359368164</v>
      </c>
      <c r="H32" s="517"/>
      <c r="I32" s="517">
        <v>0</v>
      </c>
      <c r="J32" s="517">
        <v>0</v>
      </c>
      <c r="K32" s="517"/>
      <c r="L32" s="518">
        <v>459.10898662120456</v>
      </c>
      <c r="M32" s="507">
        <f>L32*100/[9]Pehmed_meetmed!$M$3</f>
        <v>9.6196026192605153</v>
      </c>
      <c r="N32" s="522"/>
      <c r="O32" s="522">
        <f>B33*[9]TJ_kytusehinnad!$B$39/1000+SUM(C33:G33)*[9]TJ_kytusehinnad!$B$47/1000</f>
        <v>13372.991089223935</v>
      </c>
      <c r="P32" s="522">
        <f>B33*[9]TJ_kytusehinnad!$B$16/1000+SUM(C33:G33)*[9]TJ_kytusehinnad!$B$17/1000</f>
        <v>4296.6509470510164</v>
      </c>
      <c r="Q32" s="522"/>
      <c r="R32" s="556"/>
      <c r="S32" s="556"/>
      <c r="T32" s="998">
        <f t="shared" si="2"/>
        <v>4296.6509470510164</v>
      </c>
      <c r="U32" s="998">
        <f t="shared" si="1"/>
        <v>0</v>
      </c>
      <c r="V32" s="549"/>
      <c r="W32" s="525"/>
      <c r="X32" s="526"/>
      <c r="Y32" s="527"/>
      <c r="Z32" s="522"/>
      <c r="AA32" s="531"/>
      <c r="AB32" s="549"/>
      <c r="AC32" s="525"/>
      <c r="AD32" s="526"/>
      <c r="AE32" s="527"/>
      <c r="AF32" s="522"/>
      <c r="AG32" s="621"/>
    </row>
    <row r="33" spans="1:34" ht="15">
      <c r="A33" s="560" t="s">
        <v>253</v>
      </c>
      <c r="B33" s="517"/>
      <c r="C33" s="517"/>
      <c r="D33" s="517">
        <v>417.76</v>
      </c>
      <c r="E33" s="517"/>
      <c r="F33" s="517"/>
      <c r="G33" s="517"/>
      <c r="H33" s="517"/>
      <c r="I33" s="517">
        <v>-2435.0290439999994</v>
      </c>
      <c r="J33" s="517">
        <v>2435.0290439999994</v>
      </c>
      <c r="K33" s="517"/>
      <c r="L33" s="518">
        <v>417.76</v>
      </c>
      <c r="M33" s="520">
        <f>L33*100/ $L$4</f>
        <v>0.87216852126349198</v>
      </c>
      <c r="N33" s="619">
        <f>Meetmed_maksumustega2020!O33</f>
        <v>9971.4292863472856</v>
      </c>
      <c r="O33" s="522">
        <f>B33*[9]TJ_kytusehinnad!$B$39/1000+SUM(C33:G33)*[9]TJ_kytusehinnad!$B$47/1000</f>
        <v>13372.991089223935</v>
      </c>
      <c r="P33" s="522">
        <f>B33*[9]TJ_kytusehinnad!$B$16/1000+SUM(C33:G33)*[9]TJ_kytusehinnad!$B$17/1000</f>
        <v>4296.6509470510164</v>
      </c>
      <c r="Q33" s="522"/>
      <c r="R33" s="556"/>
      <c r="S33" s="523">
        <f>(N33+P33-O33-Q33)/L33</f>
        <v>2.1425917851741816</v>
      </c>
      <c r="T33" s="998">
        <f t="shared" si="2"/>
        <v>14268.080233398301</v>
      </c>
      <c r="U33" s="998">
        <v>0</v>
      </c>
      <c r="V33" s="530">
        <f>'[9]3 Koond_Sorteeritud_STSEN'!R17</f>
        <v>0.75</v>
      </c>
      <c r="W33" s="525">
        <f>$V$33*N33</f>
        <v>7478.5719647604637</v>
      </c>
      <c r="X33" s="526">
        <f>$V$33*O33</f>
        <v>10029.743316917951</v>
      </c>
      <c r="Y33" s="527">
        <f>$V$33*P33</f>
        <v>3222.4882102882621</v>
      </c>
      <c r="Z33" s="526">
        <f>$V$33*Q33</f>
        <v>0</v>
      </c>
      <c r="AA33" s="531">
        <f>'[9]3 Koond_Sorteeritud_STSEN'!P17</f>
        <v>313.32</v>
      </c>
      <c r="AB33" s="530">
        <f>'[9]3 Koond_Sorteeritud_STSEN'!S17</f>
        <v>1</v>
      </c>
      <c r="AC33" s="525">
        <f t="shared" ref="AC33:AF37" si="9">$AB33*N33</f>
        <v>9971.4292863472856</v>
      </c>
      <c r="AD33" s="526">
        <f t="shared" si="9"/>
        <v>13372.991089223935</v>
      </c>
      <c r="AE33" s="527">
        <f t="shared" si="9"/>
        <v>4296.6509470510164</v>
      </c>
      <c r="AF33" s="526">
        <f t="shared" si="9"/>
        <v>0</v>
      </c>
      <c r="AG33" s="621">
        <f>'[9]3 Koond_Sorteeritud_STSEN'!Q17</f>
        <v>417.76</v>
      </c>
    </row>
    <row r="34" spans="1:34" ht="15">
      <c r="A34" s="560" t="s">
        <v>254</v>
      </c>
      <c r="B34" s="517"/>
      <c r="C34" s="517"/>
      <c r="D34" s="517">
        <v>313.32</v>
      </c>
      <c r="E34" s="517"/>
      <c r="F34" s="517"/>
      <c r="G34" s="517"/>
      <c r="H34" s="517"/>
      <c r="I34" s="517">
        <v>-1826.2717829999997</v>
      </c>
      <c r="J34" s="517">
        <v>1826.2717829999997</v>
      </c>
      <c r="K34" s="517"/>
      <c r="L34" s="518">
        <v>313.31999999999994</v>
      </c>
      <c r="M34" s="520">
        <f>L34*100/ $L$4</f>
        <v>0.65412639094761882</v>
      </c>
      <c r="N34" s="619">
        <f>Meetmed_maksumustega2020!O34</f>
        <v>7478.5719647604628</v>
      </c>
      <c r="O34" s="522">
        <f>B34*[9]TJ_kytusehinnad!$B$39/1000+SUM(C35:G35)*[9]TJ_kytusehinnad!$B$47/1000</f>
        <v>5954.0797170520191</v>
      </c>
      <c r="P34" s="522">
        <f>B34*[9]TJ_kytusehinnad!$B$16/1000+SUM(C34:G34)*[9]TJ_kytusehinnad!$B$17/1000</f>
        <v>3222.4882102882621</v>
      </c>
      <c r="Q34" s="522"/>
      <c r="R34" s="556"/>
      <c r="S34" s="523">
        <f>(N34+P34-O34-Q34)/L34</f>
        <v>15.15058233753577</v>
      </c>
      <c r="T34" s="998">
        <f t="shared" si="2"/>
        <v>10701.060175048726</v>
      </c>
      <c r="U34" s="998">
        <v>0</v>
      </c>
      <c r="V34" s="530">
        <f>'[9]3 Koond_Sorteeritud_STSEN'!R19</f>
        <v>0.5</v>
      </c>
      <c r="W34" s="525">
        <f>$V$34*N34</f>
        <v>3739.2859823802314</v>
      </c>
      <c r="X34" s="526">
        <f>$V$34*O34</f>
        <v>2977.0398585260095</v>
      </c>
      <c r="Y34" s="527">
        <f>$V$34*P34</f>
        <v>1611.244105144131</v>
      </c>
      <c r="Z34" s="526">
        <f>$V$34*Q34</f>
        <v>0</v>
      </c>
      <c r="AA34" s="531">
        <f>'[9]3 Koond_Sorteeritud_STSEN'!P19</f>
        <v>156.65999999999997</v>
      </c>
      <c r="AB34" s="530">
        <f>'[9]3 Koond_Sorteeritud_STSEN'!S19</f>
        <v>1</v>
      </c>
      <c r="AC34" s="525">
        <f t="shared" si="9"/>
        <v>7478.5719647604628</v>
      </c>
      <c r="AD34" s="526">
        <f t="shared" si="9"/>
        <v>5954.0797170520191</v>
      </c>
      <c r="AE34" s="527">
        <f t="shared" si="9"/>
        <v>3222.4882102882621</v>
      </c>
      <c r="AF34" s="526">
        <f t="shared" si="9"/>
        <v>0</v>
      </c>
      <c r="AG34" s="621">
        <f>'[9]3 Koond_Sorteeritud_STSEN'!Q19</f>
        <v>313.31999999999994</v>
      </c>
    </row>
    <row r="35" spans="1:34" ht="15">
      <c r="A35" s="560" t="s">
        <v>255</v>
      </c>
      <c r="B35" s="517"/>
      <c r="C35" s="517"/>
      <c r="D35" s="517"/>
      <c r="E35" s="517"/>
      <c r="F35" s="517"/>
      <c r="G35" s="517">
        <v>186</v>
      </c>
      <c r="H35" s="517"/>
      <c r="I35" s="517"/>
      <c r="J35" s="517"/>
      <c r="K35" s="517"/>
      <c r="L35" s="518">
        <v>186</v>
      </c>
      <c r="M35" s="520">
        <f>L35*100/ $L$4</f>
        <v>0.38831708386396374</v>
      </c>
      <c r="N35" s="522">
        <v>5760</v>
      </c>
      <c r="O35" s="522">
        <v>3300</v>
      </c>
      <c r="P35" s="522">
        <f>B35*[9]TJ_kytusehinnad!$B$16/1000+SUM(C35:G35)*[9]TJ_kytusehinnad!$B$17/1000*0.25</f>
        <v>478.2513142423216</v>
      </c>
      <c r="Q35" s="522"/>
      <c r="R35" s="556"/>
      <c r="S35" s="523">
        <f>(N35+P35-O35-Q35)/L35</f>
        <v>15.797050076571621</v>
      </c>
      <c r="T35" s="998">
        <f t="shared" si="2"/>
        <v>6238.2513142423213</v>
      </c>
      <c r="U35" s="998">
        <f t="shared" si="1"/>
        <v>5760</v>
      </c>
      <c r="V35" s="530">
        <f>'[9]3 Koond_Sorteeritud_STSEN'!R24</f>
        <v>0.3</v>
      </c>
      <c r="W35" s="525">
        <f>$V$35*N35</f>
        <v>1728</v>
      </c>
      <c r="X35" s="526">
        <f>$V$35*O35</f>
        <v>990</v>
      </c>
      <c r="Y35" s="527">
        <f>$V$35*P35</f>
        <v>143.47539427269646</v>
      </c>
      <c r="Z35" s="526">
        <f>$V$35*Q35</f>
        <v>0</v>
      </c>
      <c r="AA35" s="531">
        <f>'[9]3 Koond_Sorteeritud_STSEN'!P24</f>
        <v>55.8</v>
      </c>
      <c r="AB35" s="530">
        <f>'[9]3 Koond_Sorteeritud_STSEN'!S24</f>
        <v>0.5</v>
      </c>
      <c r="AC35" s="525">
        <f t="shared" si="9"/>
        <v>2880</v>
      </c>
      <c r="AD35" s="526">
        <f t="shared" si="9"/>
        <v>1650</v>
      </c>
      <c r="AE35" s="527">
        <f t="shared" si="9"/>
        <v>239.1256571211608</v>
      </c>
      <c r="AF35" s="526">
        <f t="shared" si="9"/>
        <v>0</v>
      </c>
      <c r="AG35" s="621">
        <f>'[9]3 Koond_Sorteeritud_STSEN'!Q24</f>
        <v>93</v>
      </c>
    </row>
    <row r="36" spans="1:34" ht="15">
      <c r="A36" s="560" t="s">
        <v>256</v>
      </c>
      <c r="B36" s="517"/>
      <c r="C36" s="517"/>
      <c r="D36" s="517"/>
      <c r="E36" s="517">
        <v>18.198</v>
      </c>
      <c r="F36" s="517"/>
      <c r="G36" s="517"/>
      <c r="H36" s="517"/>
      <c r="I36" s="517">
        <v>383.22804239999999</v>
      </c>
      <c r="J36" s="517">
        <v>-383.22804239999999</v>
      </c>
      <c r="K36" s="517"/>
      <c r="L36" s="518">
        <v>18.197999999999979</v>
      </c>
      <c r="M36" s="520">
        <f>L36*100/ $L$4</f>
        <v>3.799244243094841E-2</v>
      </c>
      <c r="N36" s="522">
        <f>[9]Maksumus260913!B127</f>
        <v>3900</v>
      </c>
      <c r="O36" s="522">
        <f>B36*[9]TJ_kytusehinnad!$B$39/1000+SUM(C36:G36)*[9]TJ_kytusehinnad!$B$47/1000</f>
        <v>582.53947683286378</v>
      </c>
      <c r="P36" s="522">
        <f>B36*[9]TJ_kytusehinnad!$B$16/1000+SUM(C36:G36)*[9]TJ_kytusehinnad!$B$17/1000</f>
        <v>187.16596594799503</v>
      </c>
      <c r="Q36" s="522"/>
      <c r="R36" s="556"/>
      <c r="S36" s="523">
        <f>(N36+P36-O36-Q36)/L36</f>
        <v>192.58305797973048</v>
      </c>
      <c r="T36" s="998">
        <f t="shared" si="2"/>
        <v>4087.1659659479951</v>
      </c>
      <c r="U36" s="998">
        <f t="shared" si="1"/>
        <v>3900</v>
      </c>
      <c r="V36" s="530">
        <f>'[9]3 Koond_Sorteeritud_STSEN'!R25</f>
        <v>1</v>
      </c>
      <c r="W36" s="525">
        <f>$V$36*N36</f>
        <v>3900</v>
      </c>
      <c r="X36" s="526">
        <f>$V$36*O36</f>
        <v>582.53947683286378</v>
      </c>
      <c r="Y36" s="527">
        <f>$V$36*P36</f>
        <v>187.16596594799503</v>
      </c>
      <c r="Z36" s="526">
        <f>$V$36*Q36</f>
        <v>0</v>
      </c>
      <c r="AA36" s="531">
        <f>'[9]3 Koond_Sorteeritud_STSEN'!P25</f>
        <v>18.197999999999979</v>
      </c>
      <c r="AB36" s="530">
        <f>'[9]3 Koond_Sorteeritud_STSEN'!S25</f>
        <v>1</v>
      </c>
      <c r="AC36" s="525">
        <f t="shared" si="9"/>
        <v>3900</v>
      </c>
      <c r="AD36" s="526">
        <f t="shared" si="9"/>
        <v>582.53947683286378</v>
      </c>
      <c r="AE36" s="527">
        <f t="shared" si="9"/>
        <v>187.16596594799503</v>
      </c>
      <c r="AF36" s="526">
        <f t="shared" si="9"/>
        <v>0</v>
      </c>
      <c r="AG36" s="621">
        <f>'[9]3 Koond_Sorteeritud_STSEN'!Q25</f>
        <v>18.197999999999979</v>
      </c>
    </row>
    <row r="37" spans="1:34" ht="15.75" thickBot="1">
      <c r="A37" s="578" t="s">
        <v>257</v>
      </c>
      <c r="B37" s="534"/>
      <c r="C37" s="534"/>
      <c r="D37" s="534">
        <v>16.616777468145902</v>
      </c>
      <c r="E37" s="534"/>
      <c r="F37" s="534"/>
      <c r="G37" s="534"/>
      <c r="H37" s="534"/>
      <c r="I37" s="534"/>
      <c r="J37" s="534"/>
      <c r="K37" s="534"/>
      <c r="L37" s="579">
        <v>16.616777468145902</v>
      </c>
      <c r="M37" s="520">
        <f>L37*100/ $L$4</f>
        <v>3.4691282632509868E-2</v>
      </c>
      <c r="N37" s="522">
        <f>O37/3</f>
        <v>177.30755857680018</v>
      </c>
      <c r="O37" s="522">
        <f>B37*[9]TJ_kytusehinnad!$B$39/1000+SUM(C37:G37)*[9]TJ_kytusehinnad!$B$47/1000</f>
        <v>531.92267573040056</v>
      </c>
      <c r="P37" s="522">
        <f>B37*[9]TJ_kytusehinnad!$B$16/1000+SUM(C37:G37)*[9]TJ_kytusehinnad!$B$17/1000</f>
        <v>170.90313252931125</v>
      </c>
      <c r="Q37" s="522"/>
      <c r="R37" s="556"/>
      <c r="S37" s="523">
        <f>(N37+P37-O37-Q37)/L37</f>
        <v>-11.055813016480608</v>
      </c>
      <c r="T37" s="998">
        <f t="shared" si="2"/>
        <v>348.21069110611143</v>
      </c>
      <c r="U37" s="998">
        <v>0</v>
      </c>
      <c r="V37" s="530">
        <f>'[9]3 Koond_Sorteeritud_STSEN'!R27</f>
        <v>0.5</v>
      </c>
      <c r="W37" s="525">
        <f>$V$37*N37</f>
        <v>88.653779288400088</v>
      </c>
      <c r="X37" s="526">
        <f>$V$37*O37</f>
        <v>265.96133786520028</v>
      </c>
      <c r="Y37" s="527">
        <f>$V$37*P37</f>
        <v>85.451566264655625</v>
      </c>
      <c r="Z37" s="526">
        <f>$V$37*Q37</f>
        <v>0</v>
      </c>
      <c r="AA37" s="531">
        <f>'[9]3 Koond_Sorteeritud_STSEN'!P27</f>
        <v>8.3083887340729508</v>
      </c>
      <c r="AB37" s="530">
        <f>'[9]3 Koond_Sorteeritud_STSEN'!S27</f>
        <v>1</v>
      </c>
      <c r="AC37" s="525">
        <f t="shared" si="9"/>
        <v>177.30755857680018</v>
      </c>
      <c r="AD37" s="526">
        <f t="shared" si="9"/>
        <v>531.92267573040056</v>
      </c>
      <c r="AE37" s="527">
        <f t="shared" si="9"/>
        <v>170.90313252931125</v>
      </c>
      <c r="AF37" s="526">
        <f t="shared" si="9"/>
        <v>0</v>
      </c>
      <c r="AG37" s="621">
        <f>'[9]3 Koond_Sorteeritud_STSEN'!Q27</f>
        <v>16.616777468145902</v>
      </c>
    </row>
    <row r="38" spans="1:34" ht="15.75" hidden="1" thickBot="1">
      <c r="M38" s="532"/>
      <c r="R38" s="486"/>
      <c r="T38" s="998">
        <f t="shared" si="2"/>
        <v>0</v>
      </c>
      <c r="U38" s="998">
        <f t="shared" si="1"/>
        <v>0</v>
      </c>
    </row>
    <row r="39" spans="1:34" s="485" customFormat="1" ht="15.75" hidden="1" thickBot="1">
      <c r="A39" s="580" t="s">
        <v>258</v>
      </c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74"/>
      <c r="M39" s="582"/>
      <c r="N39" s="575"/>
      <c r="O39" s="997"/>
      <c r="P39" s="575"/>
      <c r="Q39" s="997"/>
      <c r="R39" s="1036"/>
      <c r="S39" s="575"/>
      <c r="T39" s="998">
        <f t="shared" si="2"/>
        <v>0</v>
      </c>
      <c r="U39" s="998">
        <f t="shared" si="1"/>
        <v>0</v>
      </c>
      <c r="V39" s="543"/>
      <c r="W39" s="525"/>
      <c r="X39" s="544"/>
      <c r="Y39" s="545"/>
      <c r="Z39" s="521"/>
      <c r="AA39" s="583"/>
      <c r="AB39" s="543"/>
      <c r="AC39" s="525"/>
      <c r="AD39" s="544"/>
      <c r="AE39" s="545"/>
      <c r="AF39" s="521"/>
      <c r="AG39" s="623"/>
    </row>
    <row r="40" spans="1:34" ht="15" hidden="1" customHeight="1">
      <c r="N40" s="548"/>
      <c r="O40" s="548"/>
      <c r="P40" s="548"/>
      <c r="Q40" s="548"/>
      <c r="R40" s="548"/>
      <c r="S40" s="548"/>
      <c r="T40" s="998">
        <f t="shared" si="2"/>
        <v>0</v>
      </c>
      <c r="U40" s="998">
        <f t="shared" si="1"/>
        <v>0</v>
      </c>
      <c r="V40" s="549"/>
      <c r="W40" s="525"/>
      <c r="X40" s="526"/>
      <c r="Y40" s="527"/>
      <c r="Z40" s="522"/>
      <c r="AA40" s="584"/>
      <c r="AB40" s="549"/>
      <c r="AC40" s="525"/>
      <c r="AD40" s="526"/>
      <c r="AE40" s="527"/>
      <c r="AF40" s="522"/>
      <c r="AG40" s="623"/>
    </row>
    <row r="41" spans="1:34" ht="15.75" hidden="1" customHeight="1" thickBot="1">
      <c r="A41" s="1126" t="s">
        <v>259</v>
      </c>
      <c r="B41" s="1126"/>
      <c r="C41" s="1126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548"/>
      <c r="O41" s="548"/>
      <c r="P41" s="548"/>
      <c r="Q41" s="548"/>
      <c r="R41" s="548"/>
      <c r="S41" s="548"/>
      <c r="T41" s="998">
        <f t="shared" si="2"/>
        <v>0</v>
      </c>
      <c r="U41" s="998">
        <f t="shared" si="1"/>
        <v>0</v>
      </c>
      <c r="V41" s="549"/>
      <c r="W41" s="525"/>
      <c r="X41" s="526"/>
      <c r="Y41" s="527"/>
      <c r="Z41" s="522"/>
      <c r="AA41" s="584"/>
      <c r="AB41" s="549"/>
      <c r="AC41" s="525"/>
      <c r="AD41" s="526"/>
      <c r="AE41" s="527"/>
      <c r="AF41" s="522"/>
      <c r="AG41" s="623"/>
    </row>
    <row r="42" spans="1:34" ht="45.75" hidden="1" thickBot="1">
      <c r="A42" s="487"/>
      <c r="B42" s="488" t="s">
        <v>206</v>
      </c>
      <c r="C42" s="488" t="s">
        <v>207</v>
      </c>
      <c r="D42" s="488" t="s">
        <v>208</v>
      </c>
      <c r="E42" s="488" t="s">
        <v>209</v>
      </c>
      <c r="F42" s="488" t="s">
        <v>210</v>
      </c>
      <c r="G42" s="488" t="s">
        <v>211</v>
      </c>
      <c r="H42" s="488" t="s">
        <v>212</v>
      </c>
      <c r="I42" s="488" t="s">
        <v>213</v>
      </c>
      <c r="J42" s="488" t="s">
        <v>214</v>
      </c>
      <c r="K42" s="488" t="s">
        <v>215</v>
      </c>
      <c r="L42" s="489" t="s">
        <v>216</v>
      </c>
      <c r="M42" s="550" t="s">
        <v>217</v>
      </c>
      <c r="N42" s="586" t="s">
        <v>224</v>
      </c>
      <c r="O42" s="586" t="s">
        <v>225</v>
      </c>
      <c r="P42" s="552" t="s">
        <v>226</v>
      </c>
      <c r="Q42" s="587" t="s">
        <v>227</v>
      </c>
      <c r="R42" s="1016"/>
      <c r="S42" s="553" t="s">
        <v>228</v>
      </c>
      <c r="T42" s="998" t="e">
        <f t="shared" si="2"/>
        <v>#VALUE!</v>
      </c>
      <c r="U42" s="998" t="e">
        <f t="shared" si="1"/>
        <v>#VALUE!</v>
      </c>
      <c r="V42" s="549"/>
      <c r="W42" s="525"/>
      <c r="X42" s="526"/>
      <c r="Y42" s="527"/>
      <c r="Z42" s="522"/>
      <c r="AA42" s="584"/>
      <c r="AB42" s="549"/>
      <c r="AC42" s="525"/>
      <c r="AD42" s="526"/>
      <c r="AE42" s="527"/>
      <c r="AF42" s="522"/>
      <c r="AG42" s="623"/>
    </row>
    <row r="43" spans="1:34" ht="15.75" hidden="1" thickBot="1">
      <c r="A43" s="557" t="s">
        <v>231</v>
      </c>
      <c r="B43" s="558">
        <v>3419.6182402275263</v>
      </c>
      <c r="C43" s="558"/>
      <c r="D43" s="558">
        <v>1382.7195239585544</v>
      </c>
      <c r="E43" s="558">
        <v>135.49666363795859</v>
      </c>
      <c r="F43" s="558">
        <v>-234.17147415281158</v>
      </c>
      <c r="G43" s="558">
        <v>68.976881803571132</v>
      </c>
      <c r="H43" s="558">
        <v>0</v>
      </c>
      <c r="I43" s="558"/>
      <c r="J43" s="558"/>
      <c r="K43" s="558">
        <v>0</v>
      </c>
      <c r="L43" s="559">
        <v>4772.6398354747989</v>
      </c>
      <c r="M43" s="589">
        <f>L44*100/[9]Pehmed_meetmed!$M$3</f>
        <v>27.887710908057425</v>
      </c>
      <c r="N43" s="522"/>
      <c r="O43" s="522"/>
      <c r="P43" s="522"/>
      <c r="Q43" s="522"/>
      <c r="R43" s="556"/>
      <c r="S43" s="556"/>
      <c r="T43" s="998">
        <f t="shared" si="2"/>
        <v>0</v>
      </c>
      <c r="U43" s="998">
        <f t="shared" si="1"/>
        <v>0</v>
      </c>
      <c r="V43" s="549"/>
      <c r="W43" s="525"/>
      <c r="X43" s="526"/>
      <c r="Y43" s="527"/>
      <c r="Z43" s="522"/>
      <c r="AA43" s="584"/>
      <c r="AB43" s="549"/>
      <c r="AC43" s="525"/>
      <c r="AD43" s="526"/>
      <c r="AE43" s="527"/>
      <c r="AF43" s="522"/>
      <c r="AG43" s="623"/>
    </row>
    <row r="44" spans="1:34" ht="15">
      <c r="A44" s="516" t="s">
        <v>260</v>
      </c>
      <c r="B44" s="529">
        <v>1432.08</v>
      </c>
      <c r="C44" s="529">
        <v>0</v>
      </c>
      <c r="D44" s="529">
        <v>0</v>
      </c>
      <c r="E44" s="529">
        <v>-101.10000000000001</v>
      </c>
      <c r="F44" s="529"/>
      <c r="G44" s="529"/>
      <c r="H44" s="529"/>
      <c r="I44" s="529">
        <v>15980</v>
      </c>
      <c r="J44" s="529">
        <v>-15980</v>
      </c>
      <c r="K44" s="529"/>
      <c r="L44" s="518">
        <v>1330.9799999999996</v>
      </c>
      <c r="M44" s="520">
        <f>L44*100/ $L$4</f>
        <v>2.7787218939852596</v>
      </c>
      <c r="N44" s="522">
        <v>16280</v>
      </c>
      <c r="O44" s="522">
        <f>B44*[9]TJ_kytusehinnad!$B$39/1000+SUM(C44:G44)*[9]TJ_kytusehinnad!$B$47/1000</f>
        <v>51787.774274386531</v>
      </c>
      <c r="P44" s="522">
        <f>B44*[9]TJ_kytusehinnad!$B$16/1000+SUM(C44:G44)*[9]TJ_kytusehinnad!$B$17/1000</f>
        <v>15630.03790654556</v>
      </c>
      <c r="Q44" s="522"/>
      <c r="R44" s="556">
        <f>182000/10</f>
        <v>18200</v>
      </c>
      <c r="S44" s="523">
        <f>(N44+P44-O44-Q44-R22)/L44</f>
        <v>-28.608796802236689</v>
      </c>
      <c r="T44" s="998">
        <f t="shared" si="2"/>
        <v>31910.03790654556</v>
      </c>
      <c r="U44" s="998">
        <f t="shared" si="1"/>
        <v>16280</v>
      </c>
      <c r="V44" s="530">
        <f>'[9]3 Koond_Sorteeritud_STSEN'!R8</f>
        <v>0.5</v>
      </c>
      <c r="W44" s="525">
        <f>$V$44*N44</f>
        <v>8140</v>
      </c>
      <c r="X44" s="526">
        <f>$V$44*O44</f>
        <v>25893.887137193266</v>
      </c>
      <c r="Y44" s="527">
        <f>$V$44*P44</f>
        <v>7815.01895327278</v>
      </c>
      <c r="Z44" s="526">
        <f>$V$44*Q44</f>
        <v>0</v>
      </c>
      <c r="AA44" s="531">
        <f>'[9]3 Koond_Sorteeritud_STSEN'!P8</f>
        <v>665.48999999999978</v>
      </c>
      <c r="AB44" s="530">
        <f>'[9]3 Koond_Sorteeritud_STSEN'!S8</f>
        <v>1</v>
      </c>
      <c r="AC44" s="525">
        <f t="shared" ref="AC44:AF47" si="10">$AB44*N44</f>
        <v>16280</v>
      </c>
      <c r="AD44" s="526">
        <f t="shared" si="10"/>
        <v>51787.774274386531</v>
      </c>
      <c r="AE44" s="527">
        <f t="shared" si="10"/>
        <v>15630.03790654556</v>
      </c>
      <c r="AF44" s="526">
        <f t="shared" si="10"/>
        <v>0</v>
      </c>
      <c r="AG44" s="621">
        <f>'[9]3 Koond_Sorteeritud_STSEN'!Q8</f>
        <v>1330.9799999999996</v>
      </c>
      <c r="AH44" s="635"/>
    </row>
    <row r="45" spans="1:34" ht="15">
      <c r="A45" s="590" t="s">
        <v>261</v>
      </c>
      <c r="B45" s="568">
        <v>54.051698485058857</v>
      </c>
      <c r="C45" s="568"/>
      <c r="D45" s="568">
        <v>745.76441408000005</v>
      </c>
      <c r="E45" s="568">
        <v>0.69573739026228765</v>
      </c>
      <c r="F45" s="568">
        <v>-12.160691326899084</v>
      </c>
      <c r="G45" s="568"/>
      <c r="H45" s="568">
        <v>56.183310460623851</v>
      </c>
      <c r="I45" s="568">
        <v>-10.978948098157598</v>
      </c>
      <c r="J45" s="568">
        <v>10.978948098157598</v>
      </c>
      <c r="K45" s="568">
        <v>376.53627391999999</v>
      </c>
      <c r="L45" s="518">
        <v>1221.0707430090461</v>
      </c>
      <c r="M45" s="520">
        <f>L45*100/ $L$4</f>
        <v>2.5492614522412707</v>
      </c>
      <c r="N45" s="522">
        <f>'[9]Maksumus_Raudtee jt meetmed'!B27</f>
        <v>29375</v>
      </c>
      <c r="O45" s="522">
        <f>B45*[9]TJ_kytusehinnad!$B$39/1000+SUM(C45:G45)*[9]TJ_kytusehinnad!$B$47/1000</f>
        <v>25582.594924889894</v>
      </c>
      <c r="P45" s="522">
        <f>B45*[9]TJ_kytusehinnad!$B$16/1000+SUM(C45:G45)*[9]TJ_kytusehinnad!$B$17/1000</f>
        <v>8181.4295108096103</v>
      </c>
      <c r="Q45" s="522"/>
      <c r="R45" s="556"/>
      <c r="S45" s="523">
        <f>(N45+P45-O45-Q45)/L45</f>
        <v>9.8060121860040432</v>
      </c>
      <c r="T45" s="998">
        <f t="shared" si="2"/>
        <v>37556.429510809612</v>
      </c>
      <c r="U45" s="998">
        <f t="shared" si="1"/>
        <v>29375</v>
      </c>
      <c r="V45" s="530">
        <f>'[9]3 Koond_Sorteeritud_STSEN'!R15</f>
        <v>1</v>
      </c>
      <c r="W45" s="525">
        <f>$V$45*N45</f>
        <v>29375</v>
      </c>
      <c r="X45" s="526">
        <f>$V$45*O45</f>
        <v>25582.594924889894</v>
      </c>
      <c r="Y45" s="527">
        <f>$V$45*P45</f>
        <v>8181.4295108096103</v>
      </c>
      <c r="Z45" s="526">
        <f>$V$45*Q45</f>
        <v>0</v>
      </c>
      <c r="AA45" s="531">
        <f>'[9]3 Koond_Sorteeritud_STSEN'!P15</f>
        <v>1221.0707430090461</v>
      </c>
      <c r="AB45" s="530">
        <f>'[9]3 Koond_Sorteeritud_STSEN'!S15</f>
        <v>0.5</v>
      </c>
      <c r="AC45" s="525">
        <f t="shared" si="10"/>
        <v>14687.5</v>
      </c>
      <c r="AD45" s="526">
        <f t="shared" si="10"/>
        <v>12791.297462444947</v>
      </c>
      <c r="AE45" s="527">
        <f t="shared" si="10"/>
        <v>4090.7147554048051</v>
      </c>
      <c r="AF45" s="526">
        <f t="shared" si="10"/>
        <v>0</v>
      </c>
      <c r="AG45" s="621">
        <f>'[9]3 Koond_Sorteeritud_STSEN'!Q15</f>
        <v>610.53537150452303</v>
      </c>
      <c r="AH45" s="635"/>
    </row>
    <row r="46" spans="1:34" ht="15">
      <c r="A46" s="533" t="s">
        <v>262</v>
      </c>
      <c r="B46" s="529"/>
      <c r="C46" s="529"/>
      <c r="D46" s="529"/>
      <c r="E46" s="529"/>
      <c r="F46" s="568">
        <v>71.559633027522921</v>
      </c>
      <c r="G46" s="568">
        <v>387.54935359368164</v>
      </c>
      <c r="H46" s="568"/>
      <c r="I46" s="529">
        <v>0</v>
      </c>
      <c r="J46" s="529">
        <v>0</v>
      </c>
      <c r="K46" s="529"/>
      <c r="L46" s="569">
        <v>459.10898662120456</v>
      </c>
      <c r="M46" s="520">
        <f>L46*100/ $L$4</f>
        <v>0.9584938863466973</v>
      </c>
      <c r="N46" s="522">
        <v>6000</v>
      </c>
      <c r="O46" s="522">
        <v>10000</v>
      </c>
      <c r="P46" s="522">
        <f>B46*[9]TJ_kytusehinnad!$B$16/1000+SUM(C46:G46)*[9]TJ_kytusehinnad!$B$17/1000*0.25</f>
        <v>1180.4810550110296</v>
      </c>
      <c r="Q46" s="522"/>
      <c r="R46" s="556"/>
      <c r="S46" s="523">
        <f>(N46+P46-O46-Q46)/L46</f>
        <v>-6.1412845907005975</v>
      </c>
      <c r="T46" s="998">
        <f t="shared" si="2"/>
        <v>7180.4810550110296</v>
      </c>
      <c r="U46" s="998">
        <f t="shared" si="1"/>
        <v>6000</v>
      </c>
      <c r="V46" s="530">
        <f>'[9]3 Koond_Sorteeritud_STSEN'!R16</f>
        <v>0</v>
      </c>
      <c r="W46" s="525">
        <f>$V$46*N46</f>
        <v>0</v>
      </c>
      <c r="X46" s="526">
        <f>$V$46*O46</f>
        <v>0</v>
      </c>
      <c r="Y46" s="527">
        <f>$V$46*P46</f>
        <v>0</v>
      </c>
      <c r="Z46" s="526">
        <f>$V$46*Q46</f>
        <v>0</v>
      </c>
      <c r="AA46" s="531">
        <f>'[9]3 Koond_Sorteeritud_STSEN'!P16</f>
        <v>0</v>
      </c>
      <c r="AB46" s="530">
        <f>'[9]3 Koond_Sorteeritud_STSEN'!S16</f>
        <v>1</v>
      </c>
      <c r="AC46" s="525">
        <f t="shared" si="10"/>
        <v>6000</v>
      </c>
      <c r="AD46" s="526">
        <f t="shared" si="10"/>
        <v>10000</v>
      </c>
      <c r="AE46" s="527">
        <f t="shared" si="10"/>
        <v>1180.4810550110296</v>
      </c>
      <c r="AF46" s="526">
        <f t="shared" si="10"/>
        <v>0</v>
      </c>
      <c r="AG46" s="621">
        <f>'[9]3 Koond_Sorteeritud_STSEN'!Q16</f>
        <v>459.10898662120456</v>
      </c>
      <c r="AH46" s="635"/>
    </row>
    <row r="47" spans="1:34" ht="15.75" thickBot="1">
      <c r="A47" s="591" t="s">
        <v>263</v>
      </c>
      <c r="B47" s="592">
        <v>358.02</v>
      </c>
      <c r="C47" s="592"/>
      <c r="D47" s="592"/>
      <c r="E47" s="592"/>
      <c r="F47" s="592"/>
      <c r="G47" s="592"/>
      <c r="H47" s="592"/>
      <c r="I47" s="592">
        <v>0</v>
      </c>
      <c r="J47" s="592">
        <v>0</v>
      </c>
      <c r="K47" s="592"/>
      <c r="L47" s="593">
        <v>358.02</v>
      </c>
      <c r="M47" s="520">
        <f>L47*100/ $L$4</f>
        <v>0.74744775465041025</v>
      </c>
      <c r="N47" s="1014">
        <v>13927</v>
      </c>
      <c r="O47" s="522">
        <f>B47*[9]TJ_kytusehinnad!$B$39/1000+SUM(C47:G47)*[9]TJ_kytusehinnad!$B$47/1000</f>
        <v>13756.026175308943</v>
      </c>
      <c r="P47" s="522">
        <f>B47*[9]TJ_kytusehinnad!$B$16/1000+SUM(C47:G47)*[9]TJ_kytusehinnad!$B$17/1000</f>
        <v>4167.4622071197164</v>
      </c>
      <c r="Q47" s="522"/>
      <c r="R47" s="556">
        <f>182000/10</f>
        <v>18200</v>
      </c>
      <c r="S47" s="523">
        <f>(N47+P47-O47-Q47-R22)/L47</f>
        <v>-38.717289448045442</v>
      </c>
      <c r="T47" s="998">
        <f t="shared" si="2"/>
        <v>18094.462207119715</v>
      </c>
      <c r="U47" s="998">
        <f t="shared" si="1"/>
        <v>13927</v>
      </c>
      <c r="V47" s="530">
        <f>'[9]3 Koond_Sorteeritud_STSEN'!R18</f>
        <v>0.5</v>
      </c>
      <c r="W47" s="525">
        <f>$V$47*N47</f>
        <v>6963.5</v>
      </c>
      <c r="X47" s="526">
        <f>$V$47*O47</f>
        <v>6878.0130876544717</v>
      </c>
      <c r="Y47" s="527">
        <f>$V$47*P47</f>
        <v>2083.7311035598582</v>
      </c>
      <c r="Z47" s="526">
        <f>$V$47*Q47</f>
        <v>0</v>
      </c>
      <c r="AA47" s="531">
        <f>'[9]3 Koond_Sorteeritud_STSEN'!P18</f>
        <v>179.01</v>
      </c>
      <c r="AB47" s="530">
        <f>'[9]3 Koond_Sorteeritud_STSEN'!S18</f>
        <v>1</v>
      </c>
      <c r="AC47" s="525">
        <f t="shared" si="10"/>
        <v>13927</v>
      </c>
      <c r="AD47" s="526">
        <f t="shared" si="10"/>
        <v>13756.026175308943</v>
      </c>
      <c r="AE47" s="527">
        <f t="shared" si="10"/>
        <v>4167.4622071197164</v>
      </c>
      <c r="AF47" s="526">
        <f t="shared" si="10"/>
        <v>0</v>
      </c>
      <c r="AG47" s="621">
        <f>'[9]3 Koond_Sorteeritud_STSEN'!Q18</f>
        <v>358.02</v>
      </c>
      <c r="AH47" s="635"/>
    </row>
    <row r="48" spans="1:34" ht="15.75" hidden="1" thickBot="1">
      <c r="R48" s="486"/>
      <c r="T48" s="998">
        <f t="shared" si="2"/>
        <v>0</v>
      </c>
      <c r="U48" s="998">
        <f t="shared" si="1"/>
        <v>0</v>
      </c>
    </row>
    <row r="49" spans="1:34" s="485" customFormat="1" ht="15.75" hidden="1" thickBot="1">
      <c r="A49" s="594" t="s">
        <v>264</v>
      </c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39"/>
      <c r="M49" s="595"/>
      <c r="N49" s="575"/>
      <c r="O49" s="997"/>
      <c r="P49" s="575"/>
      <c r="Q49" s="997"/>
      <c r="R49" s="1036"/>
      <c r="S49" s="575"/>
      <c r="T49" s="998">
        <f t="shared" si="2"/>
        <v>0</v>
      </c>
      <c r="U49" s="998">
        <f t="shared" si="1"/>
        <v>0</v>
      </c>
      <c r="V49" s="543"/>
      <c r="W49" s="525"/>
      <c r="X49" s="544"/>
      <c r="Y49" s="545"/>
      <c r="Z49" s="521"/>
      <c r="AA49" s="546"/>
      <c r="AB49" s="543"/>
      <c r="AC49" s="525"/>
      <c r="AD49" s="544"/>
      <c r="AE49" s="545"/>
      <c r="AF49" s="521"/>
      <c r="AG49" s="621"/>
    </row>
    <row r="50" spans="1:34" ht="15" hidden="1" customHeight="1">
      <c r="M50" s="547"/>
      <c r="N50" s="548"/>
      <c r="O50" s="548"/>
      <c r="P50" s="548"/>
      <c r="Q50" s="548"/>
      <c r="R50" s="548"/>
      <c r="S50" s="548"/>
      <c r="T50" s="998">
        <f t="shared" si="2"/>
        <v>0</v>
      </c>
      <c r="U50" s="998">
        <f t="shared" si="1"/>
        <v>0</v>
      </c>
      <c r="V50" s="549"/>
      <c r="W50" s="525"/>
      <c r="X50" s="526"/>
      <c r="Y50" s="527"/>
      <c r="Z50" s="522"/>
      <c r="AA50" s="531"/>
      <c r="AB50" s="549"/>
      <c r="AC50" s="525"/>
      <c r="AD50" s="526"/>
      <c r="AE50" s="527"/>
      <c r="AF50" s="522"/>
      <c r="AG50" s="621"/>
    </row>
    <row r="51" spans="1:34" ht="15.75" hidden="1" customHeight="1" thickBot="1">
      <c r="A51" s="1126" t="s">
        <v>265</v>
      </c>
      <c r="B51" s="1126"/>
      <c r="C51" s="1126"/>
      <c r="D51" s="1126"/>
      <c r="E51" s="1126"/>
      <c r="F51" s="1126"/>
      <c r="G51" s="1126"/>
      <c r="H51" s="1126"/>
      <c r="I51" s="1126"/>
      <c r="J51" s="1126"/>
      <c r="K51" s="1126"/>
      <c r="L51" s="1126"/>
      <c r="M51" s="1126"/>
      <c r="N51" s="548"/>
      <c r="O51" s="548"/>
      <c r="P51" s="548"/>
      <c r="Q51" s="548"/>
      <c r="R51" s="548"/>
      <c r="S51" s="548"/>
      <c r="T51" s="998">
        <f t="shared" si="2"/>
        <v>0</v>
      </c>
      <c r="U51" s="998">
        <f t="shared" si="1"/>
        <v>0</v>
      </c>
      <c r="V51" s="549"/>
      <c r="W51" s="525"/>
      <c r="X51" s="526"/>
      <c r="Y51" s="527"/>
      <c r="Z51" s="522"/>
      <c r="AA51" s="531"/>
      <c r="AB51" s="549"/>
      <c r="AC51" s="525"/>
      <c r="AD51" s="526"/>
      <c r="AE51" s="527"/>
      <c r="AF51" s="522"/>
      <c r="AG51" s="621"/>
    </row>
    <row r="52" spans="1:34" ht="45.75" hidden="1" thickBot="1">
      <c r="A52" s="487"/>
      <c r="B52" s="488" t="s">
        <v>206</v>
      </c>
      <c r="C52" s="488" t="s">
        <v>207</v>
      </c>
      <c r="D52" s="488" t="s">
        <v>208</v>
      </c>
      <c r="E52" s="488" t="s">
        <v>209</v>
      </c>
      <c r="F52" s="488" t="s">
        <v>210</v>
      </c>
      <c r="G52" s="488" t="s">
        <v>211</v>
      </c>
      <c r="H52" s="488" t="s">
        <v>212</v>
      </c>
      <c r="I52" s="488" t="s">
        <v>213</v>
      </c>
      <c r="J52" s="488" t="s">
        <v>214</v>
      </c>
      <c r="K52" s="488" t="s">
        <v>215</v>
      </c>
      <c r="L52" s="489" t="s">
        <v>216</v>
      </c>
      <c r="M52" s="550" t="s">
        <v>217</v>
      </c>
      <c r="N52" s="586" t="s">
        <v>224</v>
      </c>
      <c r="O52" s="586" t="s">
        <v>225</v>
      </c>
      <c r="P52" s="552" t="s">
        <v>226</v>
      </c>
      <c r="Q52" s="587" t="s">
        <v>227</v>
      </c>
      <c r="R52" s="1016"/>
      <c r="S52" s="553" t="s">
        <v>228</v>
      </c>
      <c r="T52" s="998" t="e">
        <f t="shared" si="2"/>
        <v>#VALUE!</v>
      </c>
      <c r="U52" s="998" t="e">
        <f t="shared" si="1"/>
        <v>#VALUE!</v>
      </c>
      <c r="V52" s="549"/>
      <c r="W52" s="525"/>
      <c r="X52" s="526"/>
      <c r="Y52" s="527"/>
      <c r="Z52" s="522"/>
      <c r="AA52" s="531"/>
      <c r="AB52" s="549"/>
      <c r="AC52" s="525"/>
      <c r="AD52" s="526"/>
      <c r="AE52" s="527"/>
      <c r="AF52" s="522"/>
      <c r="AG52" s="621"/>
    </row>
    <row r="53" spans="1:34" ht="15.75" hidden="1" thickBot="1">
      <c r="A53" s="557" t="s">
        <v>231</v>
      </c>
      <c r="B53" s="558">
        <v>3419.6182402275263</v>
      </c>
      <c r="C53" s="558"/>
      <c r="D53" s="558">
        <v>1382.7195239585544</v>
      </c>
      <c r="E53" s="558">
        <v>135.49666363795859</v>
      </c>
      <c r="F53" s="558">
        <v>-234.17147415281158</v>
      </c>
      <c r="G53" s="558">
        <v>68.976881803571132</v>
      </c>
      <c r="H53" s="558">
        <v>0</v>
      </c>
      <c r="I53" s="558"/>
      <c r="J53" s="558"/>
      <c r="K53" s="558">
        <v>0</v>
      </c>
      <c r="L53" s="559">
        <v>4772.6398354747989</v>
      </c>
      <c r="M53" s="589">
        <f>L54*100/[9]Pehmed_meetmed!$M$3</f>
        <v>62.129850611386189</v>
      </c>
      <c r="N53" s="522"/>
      <c r="O53" s="522"/>
      <c r="P53" s="522"/>
      <c r="Q53" s="522"/>
      <c r="R53" s="556"/>
      <c r="S53" s="556"/>
      <c r="T53" s="998">
        <f t="shared" si="2"/>
        <v>0</v>
      </c>
      <c r="U53" s="998">
        <f t="shared" si="1"/>
        <v>0</v>
      </c>
      <c r="V53" s="549"/>
      <c r="W53" s="525"/>
      <c r="X53" s="526"/>
      <c r="Y53" s="527"/>
      <c r="Z53" s="522"/>
      <c r="AA53" s="531"/>
      <c r="AB53" s="549"/>
      <c r="AC53" s="525"/>
      <c r="AD53" s="526"/>
      <c r="AE53" s="527"/>
      <c r="AF53" s="522"/>
      <c r="AG53" s="621"/>
    </row>
    <row r="54" spans="1:34" ht="15">
      <c r="A54" s="533" t="s">
        <v>266</v>
      </c>
      <c r="B54" s="529">
        <v>2327.13</v>
      </c>
      <c r="C54" s="529">
        <v>417.76000000000005</v>
      </c>
      <c r="D54" s="529">
        <v>187.99200000000002</v>
      </c>
      <c r="E54" s="529">
        <v>32.352000000000004</v>
      </c>
      <c r="F54" s="529"/>
      <c r="G54" s="529"/>
      <c r="H54" s="529"/>
      <c r="I54" s="529">
        <v>0</v>
      </c>
      <c r="J54" s="529">
        <v>0</v>
      </c>
      <c r="K54" s="529"/>
      <c r="L54" s="518">
        <v>2965.2340000000004</v>
      </c>
      <c r="M54" s="520">
        <f>L54*100/ $L$4</f>
        <v>6.1905968809369725</v>
      </c>
      <c r="N54" s="619">
        <v>10000</v>
      </c>
      <c r="O54" s="522">
        <f>B54*[9]TJ_kytusehinnad!$B$39/1000+SUM(C54:G54)*[9]TJ_kytusehinnad!$B$47/1000</f>
        <v>109840.6329554746</v>
      </c>
      <c r="P54" s="522">
        <f>B54*[9]TJ_kytusehinnad!$B$16/1000+SUM(C54:G54)*[9]TJ_kytusehinnad!$B$17/1000</f>
        <v>33651.387714520788</v>
      </c>
      <c r="Q54" s="522"/>
      <c r="R54" s="556">
        <f>182000/10</f>
        <v>18200</v>
      </c>
      <c r="S54" s="523">
        <f>(N54+P54-O54-Q54-R22)/L54</f>
        <v>-28.459556730077221</v>
      </c>
      <c r="T54" s="998">
        <f t="shared" si="2"/>
        <v>43651.387714520788</v>
      </c>
      <c r="U54" s="998">
        <f t="shared" si="1"/>
        <v>10000</v>
      </c>
      <c r="V54" s="530">
        <f>'[9]3 Koond_Sorteeritud_STSEN'!R5</f>
        <v>0.3</v>
      </c>
      <c r="W54" s="525">
        <f>$V$54*N54</f>
        <v>3000</v>
      </c>
      <c r="X54" s="526">
        <f>$V$54*O54</f>
        <v>32952.18988664238</v>
      </c>
      <c r="Y54" s="527">
        <f>$V$54*P54</f>
        <v>10095.416314356236</v>
      </c>
      <c r="Z54" s="526">
        <f>$V$54*Q54</f>
        <v>0</v>
      </c>
      <c r="AA54" s="531">
        <f>'[9]3 Koond_Sorteeritud_STSEN'!P5</f>
        <v>889.57020000000011</v>
      </c>
      <c r="AB54" s="530">
        <f>'[9]3 Koond_Sorteeritud_STSEN'!S5</f>
        <v>1</v>
      </c>
      <c r="AC54" s="525">
        <f t="shared" ref="AC54:AF57" si="11">$AB54*N54</f>
        <v>10000</v>
      </c>
      <c r="AD54" s="526">
        <f t="shared" si="11"/>
        <v>109840.6329554746</v>
      </c>
      <c r="AE54" s="527">
        <f t="shared" si="11"/>
        <v>33651.387714520788</v>
      </c>
      <c r="AF54" s="526">
        <f t="shared" si="11"/>
        <v>0</v>
      </c>
      <c r="AG54" s="621">
        <f>'[9]3 Koond_Sorteeritud_STSEN'!Q5</f>
        <v>2965.2340000000004</v>
      </c>
      <c r="AH54" s="635"/>
    </row>
    <row r="55" spans="1:34" ht="15">
      <c r="A55" s="596" t="s">
        <v>267</v>
      </c>
      <c r="B55" s="568">
        <v>930.85200000000009</v>
      </c>
      <c r="C55" s="568"/>
      <c r="D55" s="568"/>
      <c r="E55" s="568"/>
      <c r="F55" s="568"/>
      <c r="G55" s="568"/>
      <c r="H55" s="568"/>
      <c r="I55" s="568">
        <v>0</v>
      </c>
      <c r="J55" s="568">
        <v>0</v>
      </c>
      <c r="K55" s="568"/>
      <c r="L55" s="569">
        <v>930.85200000000009</v>
      </c>
      <c r="M55" s="520">
        <f>L55*100/ $L$4</f>
        <v>1.9433641620910669</v>
      </c>
      <c r="N55" s="1014">
        <v>4100</v>
      </c>
      <c r="O55" s="522">
        <f>B55*[9]TJ_kytusehinnad!$B$39/1000+SUM(C55:G55)*[9]TJ_kytusehinnad!$B$47/1000</f>
        <v>35765.668055803253</v>
      </c>
      <c r="P55" s="522">
        <f>B55*[9]TJ_kytusehinnad!$B$16/1000+SUM(C55:G55)*[9]TJ_kytusehinnad!$B$17/1000</f>
        <v>10835.401738511264</v>
      </c>
      <c r="Q55" s="522"/>
      <c r="R55" s="556">
        <f>182000/10</f>
        <v>18200</v>
      </c>
      <c r="S55" s="523">
        <f>(N55+P55-O55-Q55-R22)/L55</f>
        <v>-41.92961536022051</v>
      </c>
      <c r="T55" s="998">
        <f t="shared" si="2"/>
        <v>14935.401738511264</v>
      </c>
      <c r="U55" s="998">
        <f t="shared" si="1"/>
        <v>4100</v>
      </c>
      <c r="V55" s="530">
        <f>'[9]3 Koond_Sorteeritud_STSEN'!R13</f>
        <v>0.3</v>
      </c>
      <c r="W55" s="525">
        <f>$V$55*N55</f>
        <v>1230</v>
      </c>
      <c r="X55" s="526">
        <f>$V$55*O55</f>
        <v>10729.700416740976</v>
      </c>
      <c r="Y55" s="527">
        <f>$V$55*P55</f>
        <v>3250.6205215533791</v>
      </c>
      <c r="Z55" s="526">
        <f>$V$55*Q55</f>
        <v>0</v>
      </c>
      <c r="AA55" s="531">
        <f>'[9]3 Koond_Sorteeritud_STSEN'!P13</f>
        <v>279.25560000000002</v>
      </c>
      <c r="AB55" s="530">
        <f>'[9]3 Koond_Sorteeritud_STSEN'!S13</f>
        <v>1</v>
      </c>
      <c r="AC55" s="525">
        <f t="shared" si="11"/>
        <v>4100</v>
      </c>
      <c r="AD55" s="526">
        <f t="shared" si="11"/>
        <v>35765.668055803253</v>
      </c>
      <c r="AE55" s="527">
        <f t="shared" si="11"/>
        <v>10835.401738511264</v>
      </c>
      <c r="AF55" s="526">
        <f t="shared" si="11"/>
        <v>0</v>
      </c>
      <c r="AG55" s="621">
        <f>'[9]3 Koond_Sorteeritud_STSEN'!Q13</f>
        <v>930.85200000000009</v>
      </c>
      <c r="AH55" s="635"/>
    </row>
    <row r="56" spans="1:34" s="1065" customFormat="1" ht="15">
      <c r="A56" s="1053" t="s">
        <v>245</v>
      </c>
      <c r="B56" s="1054">
        <v>1117.0224000000001</v>
      </c>
      <c r="C56" s="1054"/>
      <c r="D56" s="1054"/>
      <c r="E56" s="1054"/>
      <c r="F56" s="1054"/>
      <c r="G56" s="1054"/>
      <c r="H56" s="1054"/>
      <c r="I56" s="1054">
        <v>-17726.374742543998</v>
      </c>
      <c r="J56" s="1054">
        <v>17726.374742543998</v>
      </c>
      <c r="K56" s="1054"/>
      <c r="L56" s="1055">
        <v>1117.0224000000017</v>
      </c>
      <c r="M56" s="1056">
        <f>L56*100/ $L$4</f>
        <v>2.3320369945092834</v>
      </c>
      <c r="N56" s="1057">
        <v>2400</v>
      </c>
      <c r="O56" s="1057">
        <f>B56*[9]TJ_kytusehinnad!$B$39/1000+SUM(C56:G56)*[9]TJ_kytusehinnad!$B$47/1000</f>
        <v>42918.801666963904</v>
      </c>
      <c r="P56" s="1057">
        <f>B56*[9]TJ_kytusehinnad!$B$16/1000+SUM(C56:G56)*[9]TJ_kytusehinnad!$B$17/1000</f>
        <v>13002.482086213517</v>
      </c>
      <c r="Q56" s="1057">
        <v>24000</v>
      </c>
      <c r="R56" s="1058">
        <f>182000/10</f>
        <v>18200</v>
      </c>
      <c r="S56" s="1058">
        <f>(N56+P56-O56-Q56-R22)/L56</f>
        <v>-62.412642379195162</v>
      </c>
      <c r="T56" s="1059">
        <f t="shared" si="2"/>
        <v>-8597.5179137864834</v>
      </c>
      <c r="U56" s="1059">
        <f t="shared" si="1"/>
        <v>-21600</v>
      </c>
      <c r="V56" s="1060"/>
      <c r="W56" s="1061"/>
      <c r="X56" s="1062"/>
      <c r="Y56" s="1063"/>
      <c r="Z56" s="1062"/>
      <c r="AA56" s="1064"/>
      <c r="AB56" s="1060"/>
      <c r="AC56" s="1061"/>
      <c r="AD56" s="1062"/>
      <c r="AE56" s="1063"/>
      <c r="AF56" s="1062">
        <f t="shared" si="11"/>
        <v>0</v>
      </c>
      <c r="AG56" s="1064">
        <f>'[9]3 Koond_Sorteeritud_STSEN'!Q10</f>
        <v>1117.0224000000017</v>
      </c>
    </row>
    <row r="57" spans="1:34" ht="15.75" thickBot="1">
      <c r="A57" s="597" t="s">
        <v>268</v>
      </c>
      <c r="B57" s="640">
        <v>198.27691875490424</v>
      </c>
      <c r="C57" s="640">
        <v>0</v>
      </c>
      <c r="D57" s="640">
        <v>0</v>
      </c>
      <c r="E57" s="640">
        <v>0</v>
      </c>
      <c r="F57" s="640"/>
      <c r="G57" s="640"/>
      <c r="H57" s="640"/>
      <c r="I57" s="640">
        <v>0</v>
      </c>
      <c r="J57" s="640">
        <v>0</v>
      </c>
      <c r="K57" s="640"/>
      <c r="L57" s="641">
        <v>198.27691875490424</v>
      </c>
      <c r="M57" s="520">
        <f>L57*100/ $L$4</f>
        <v>0.41394792950772302</v>
      </c>
      <c r="N57" s="642">
        <f>[9]Maksumus260913!D60</f>
        <v>188</v>
      </c>
      <c r="O57" s="642">
        <f>B57*[9]TJ_kytusehinnad!$B$39/1000+SUM(C57:G57)*[9]TJ_kytusehinnad!$B$47/1000</f>
        <v>7618.2964201778323</v>
      </c>
      <c r="P57" s="642">
        <f>B57*[9]TJ_kytusehinnad!$B$16/1000+SUM(C57:G57)*[9]TJ_kytusehinnad!$B$17/1000</f>
        <v>2308.0039256332325</v>
      </c>
      <c r="Q57" s="642"/>
      <c r="R57" s="1032"/>
      <c r="S57" s="523">
        <f>(N57+P57-O57-Q57)/L57</f>
        <v>-25.834033162863555</v>
      </c>
      <c r="T57" s="998">
        <f t="shared" si="2"/>
        <v>2496.0039256332325</v>
      </c>
      <c r="U57" s="998">
        <f t="shared" si="1"/>
        <v>188</v>
      </c>
      <c r="V57" s="598">
        <f>'[9]3 Koond_Sorteeritud_STSEN'!R22</f>
        <v>0.5</v>
      </c>
      <c r="W57" s="599">
        <f>$V$57*N57</f>
        <v>94</v>
      </c>
      <c r="X57" s="600">
        <f>$V$57*O57</f>
        <v>3809.1482100889161</v>
      </c>
      <c r="Y57" s="601">
        <f>$V$57*P57</f>
        <v>1154.0019628166162</v>
      </c>
      <c r="Z57" s="600">
        <f>$V$57*Q57</f>
        <v>0</v>
      </c>
      <c r="AA57" s="602">
        <f>'[9]3 Koond_Sorteeritud_STSEN'!P22</f>
        <v>59.483075626471269</v>
      </c>
      <c r="AB57" s="598">
        <f>'[9]3 Koond_Sorteeritud_STSEN'!S22</f>
        <v>1</v>
      </c>
      <c r="AC57" s="599">
        <f t="shared" si="11"/>
        <v>188</v>
      </c>
      <c r="AD57" s="600">
        <f t="shared" si="11"/>
        <v>7618.2964201778323</v>
      </c>
      <c r="AE57" s="601">
        <f t="shared" si="11"/>
        <v>2308.0039256332325</v>
      </c>
      <c r="AF57" s="600">
        <f t="shared" si="11"/>
        <v>0</v>
      </c>
      <c r="AG57" s="624">
        <f>'[9]3 Koond_Sorteeritud_STSEN'!Q22</f>
        <v>198.27691875490424</v>
      </c>
      <c r="AH57" s="651"/>
    </row>
    <row r="58" spans="1:34" s="649" customFormat="1" ht="27" thickBot="1">
      <c r="A58" s="1137" t="s">
        <v>269</v>
      </c>
      <c r="B58" s="1138"/>
      <c r="C58" s="1138"/>
      <c r="D58" s="1138"/>
      <c r="E58" s="1138"/>
      <c r="F58" s="538"/>
      <c r="G58" s="538"/>
      <c r="H58" s="538"/>
      <c r="I58" s="538"/>
      <c r="J58" s="538"/>
      <c r="K58" s="538"/>
      <c r="L58" s="574"/>
      <c r="M58" s="595"/>
      <c r="N58" s="648"/>
      <c r="O58" s="648"/>
      <c r="P58" s="648"/>
      <c r="Q58" s="648"/>
      <c r="R58" s="1033"/>
      <c r="S58" s="648"/>
      <c r="T58" s="648"/>
      <c r="U58" s="648"/>
      <c r="V58" s="636"/>
      <c r="W58" s="604" t="s">
        <v>224</v>
      </c>
      <c r="X58" s="604" t="s">
        <v>225</v>
      </c>
      <c r="Y58" s="637" t="s">
        <v>226</v>
      </c>
      <c r="Z58" s="638" t="s">
        <v>227</v>
      </c>
      <c r="AA58" s="639" t="s">
        <v>270</v>
      </c>
      <c r="AB58" s="636"/>
      <c r="AC58" s="604" t="s">
        <v>224</v>
      </c>
      <c r="AD58" s="604" t="s">
        <v>225</v>
      </c>
      <c r="AE58" s="637" t="s">
        <v>226</v>
      </c>
      <c r="AF58" s="638" t="s">
        <v>227</v>
      </c>
      <c r="AG58" s="639" t="s">
        <v>270</v>
      </c>
    </row>
    <row r="59" spans="1:34" ht="15.75" thickBot="1">
      <c r="N59" s="605"/>
      <c r="O59" s="605"/>
      <c r="P59" s="605"/>
      <c r="Q59" s="605"/>
      <c r="R59" s="1034"/>
      <c r="S59" s="605"/>
      <c r="T59" s="605"/>
      <c r="U59" s="605"/>
      <c r="V59" s="644" t="s">
        <v>271</v>
      </c>
      <c r="W59" s="645">
        <f>SUM(W5:W7,W9,W18:W25,W33:W37,W44:W47,W54:W57)</f>
        <v>95961.965572582936</v>
      </c>
      <c r="X59" s="645">
        <f>SUM(X5:X7,X9,X18:X25,X33:X37,X44:X47,X54:X57)</f>
        <v>278714.98379949597</v>
      </c>
      <c r="Y59" s="645">
        <f>SUM(Y5:Y7,Y9,Y18:Y25,Y33:Y37,Y44:Y47,Y54:Y57)</f>
        <v>82475.749125780014</v>
      </c>
      <c r="Z59" s="645">
        <f>SUM(Z5:Z7,Z9,Z18:Z25,Z33:Z37,Z44:Z47,Z54:Z57)</f>
        <v>175900</v>
      </c>
      <c r="AA59" s="645">
        <f>SUM(AA5:AA7,AA9,AA18:AA25,AA33:AA37,AA44:AA47,AA54:AA57)</f>
        <v>8208.8316233617425</v>
      </c>
      <c r="AB59" s="644"/>
      <c r="AC59" s="645">
        <f>SUM(AC5:AC7,AC9,AC18:AC25,AC33:AC37,AC44:AC47,AC54:AC57)</f>
        <v>154850.79957891529</v>
      </c>
      <c r="AD59" s="645">
        <f>SUM(AD5:AD7,AD9,AD18:AD25,AD33:AD37,AD44:AD47,AD54:AD57)</f>
        <v>646128.87260964292</v>
      </c>
      <c r="AE59" s="645">
        <f>SUM(AE5:AE7,AE9,AE18:AE25,AE33:AE37,AE44:AE47,AE54:AE57)</f>
        <v>193281.91857659959</v>
      </c>
      <c r="AF59" s="645">
        <f>SUM(AF5:AF7,AF9,AF18:AF25,AF33:AF37,AF44:AF47,AF54:AF57)</f>
        <v>334000</v>
      </c>
      <c r="AG59" s="646">
        <f>SUM(AG5:AG58)</f>
        <v>19333.292980064973</v>
      </c>
    </row>
    <row r="60" spans="1:34" ht="39" customHeight="1" thickBot="1">
      <c r="A60" s="1133" t="s">
        <v>276</v>
      </c>
      <c r="B60" s="1134"/>
      <c r="C60" s="1134"/>
      <c r="D60" s="1134"/>
      <c r="E60" s="1134"/>
      <c r="F60" s="1134"/>
      <c r="G60" s="1134"/>
      <c r="H60" s="1134"/>
      <c r="I60" s="1134"/>
      <c r="J60" s="1134"/>
      <c r="K60" s="1134"/>
      <c r="L60" s="1134"/>
      <c r="M60" s="1134"/>
      <c r="N60" s="1134"/>
      <c r="O60" s="1134"/>
      <c r="P60" s="1134"/>
      <c r="Q60" s="1134"/>
      <c r="R60" s="1134"/>
      <c r="S60" s="1134"/>
      <c r="T60" s="1134"/>
      <c r="U60" s="1134"/>
      <c r="V60" s="1134"/>
      <c r="W60" s="650">
        <f>W59-SUM(W44:W48)-W55-W54</f>
        <v>47253.465572582936</v>
      </c>
      <c r="X60" s="606"/>
      <c r="Y60" s="606"/>
      <c r="Z60" s="606"/>
      <c r="AA60" s="603"/>
      <c r="AB60" s="606"/>
      <c r="AC60" s="650">
        <f>AC59-SUM(AC44:AC48)-AC55-AC54</f>
        <v>89856.299578915292</v>
      </c>
    </row>
    <row r="61" spans="1:34" ht="15">
      <c r="AA61" s="605"/>
    </row>
    <row r="62" spans="1:34" ht="15">
      <c r="N62" s="486" t="s">
        <v>517</v>
      </c>
      <c r="O62" s="486" t="s">
        <v>225</v>
      </c>
      <c r="P62" s="486" t="s">
        <v>226</v>
      </c>
      <c r="Q62" s="486" t="s">
        <v>227</v>
      </c>
      <c r="S62" s="486" t="s">
        <v>228</v>
      </c>
      <c r="T62" s="486" t="s">
        <v>516</v>
      </c>
      <c r="AA62" s="605"/>
    </row>
    <row r="63" spans="1:34" ht="15">
      <c r="A63" s="486" t="s">
        <v>232</v>
      </c>
      <c r="B63" s="486">
        <v>716.04</v>
      </c>
      <c r="C63" s="486">
        <v>313.32</v>
      </c>
      <c r="D63" s="486">
        <v>313.32</v>
      </c>
      <c r="E63" s="486">
        <v>30.33</v>
      </c>
      <c r="I63" s="486">
        <v>-5679.5245154999975</v>
      </c>
      <c r="J63" s="486">
        <v>5679.5245154999975</v>
      </c>
      <c r="L63" s="486">
        <v>1373.0100000000002</v>
      </c>
      <c r="M63" s="486">
        <v>17.503520667758362</v>
      </c>
      <c r="N63" s="999">
        <v>120</v>
      </c>
      <c r="O63" s="999">
        <v>48542.438112508564</v>
      </c>
      <c r="P63" s="999">
        <v>9724.0784832793397</v>
      </c>
      <c r="Q63" s="999"/>
      <c r="R63" s="1035"/>
      <c r="S63" s="999">
        <v>-35.267360115737361</v>
      </c>
      <c r="T63" s="999">
        <v>9844.0784832793397</v>
      </c>
      <c r="U63" s="999"/>
      <c r="AA63" s="605"/>
    </row>
    <row r="64" spans="1:34" ht="15">
      <c r="A64" s="486" t="s">
        <v>233</v>
      </c>
      <c r="B64" s="486">
        <v>835.38000000000011</v>
      </c>
      <c r="C64" s="486">
        <v>0</v>
      </c>
      <c r="D64" s="486">
        <v>0</v>
      </c>
      <c r="E64" s="486">
        <v>0</v>
      </c>
      <c r="I64" s="486">
        <v>0</v>
      </c>
      <c r="J64" s="486">
        <v>0</v>
      </c>
      <c r="L64" s="486">
        <v>835.38000000000011</v>
      </c>
      <c r="M64" s="486">
        <v>5.0010059050738169</v>
      </c>
      <c r="N64" s="999">
        <v>40</v>
      </c>
      <c r="O64" s="999">
        <v>32097.394409054206</v>
      </c>
      <c r="P64" s="999">
        <v>9724.0784832793397</v>
      </c>
      <c r="Q64" s="999"/>
      <c r="R64" s="1035"/>
      <c r="S64" s="999">
        <v>-38.374625211345979</v>
      </c>
      <c r="T64" s="999">
        <v>9764.0784832793397</v>
      </c>
      <c r="U64" s="999"/>
      <c r="AA64" s="605"/>
    </row>
    <row r="65" spans="1:27" ht="15">
      <c r="A65" s="486" t="s">
        <v>234</v>
      </c>
      <c r="B65" s="486">
        <v>238.68</v>
      </c>
      <c r="C65" s="486">
        <v>0</v>
      </c>
      <c r="D65" s="486">
        <v>0</v>
      </c>
      <c r="E65" s="486">
        <v>0</v>
      </c>
      <c r="I65" s="486">
        <v>0</v>
      </c>
      <c r="J65" s="486">
        <v>0</v>
      </c>
      <c r="L65" s="486">
        <v>238.68</v>
      </c>
      <c r="M65" s="486">
        <v>4.1544496461082518</v>
      </c>
      <c r="N65" s="999">
        <v>150</v>
      </c>
      <c r="O65" s="999">
        <v>9170.6841168726296</v>
      </c>
      <c r="P65" s="999">
        <v>2778.3081380798108</v>
      </c>
      <c r="Q65" s="999"/>
      <c r="R65" s="1035"/>
      <c r="S65" s="999">
        <v>-37.794051101360104</v>
      </c>
      <c r="T65" s="999">
        <v>2928.3081380798108</v>
      </c>
      <c r="U65" s="999"/>
      <c r="AA65" s="605"/>
    </row>
    <row r="66" spans="1:27" ht="15">
      <c r="A66" s="486" t="s">
        <v>236</v>
      </c>
      <c r="B66" s="486">
        <v>190.94400000000002</v>
      </c>
      <c r="C66" s="486">
        <v>0</v>
      </c>
      <c r="D66" s="486">
        <v>0</v>
      </c>
      <c r="E66" s="486">
        <v>0</v>
      </c>
      <c r="I66" s="486">
        <v>0</v>
      </c>
      <c r="J66" s="486">
        <v>0</v>
      </c>
      <c r="L66" s="486">
        <v>190.94400000000002</v>
      </c>
      <c r="M66" s="486">
        <v>0</v>
      </c>
      <c r="N66" s="999">
        <v>140</v>
      </c>
      <c r="O66" s="999">
        <v>7336.5472934981035</v>
      </c>
      <c r="P66" s="999">
        <v>2222.6465104638487</v>
      </c>
      <c r="Q66" s="999"/>
      <c r="R66" s="1035"/>
      <c r="S66" s="999">
        <v>-37.689308349558523</v>
      </c>
      <c r="T66" s="999">
        <v>2362.6465104638487</v>
      </c>
      <c r="U66" s="999"/>
      <c r="AA66" s="605"/>
    </row>
    <row r="67" spans="1:27">
      <c r="A67" s="486" t="s">
        <v>242</v>
      </c>
      <c r="B67" s="486">
        <v>4773.6000000000004</v>
      </c>
      <c r="C67" s="486">
        <v>731.08</v>
      </c>
      <c r="E67" s="486">
        <v>-404.40000000000003</v>
      </c>
      <c r="L67" s="486">
        <v>5100.2800000000007</v>
      </c>
      <c r="M67" s="486">
        <v>106.8649673099124</v>
      </c>
      <c r="N67" s="999">
        <v>50000</v>
      </c>
      <c r="O67" s="999">
        <v>193871.09503619751</v>
      </c>
      <c r="P67" s="999">
        <v>58926.058231202282</v>
      </c>
      <c r="Q67" s="999">
        <v>250000</v>
      </c>
      <c r="R67" s="1035"/>
      <c r="S67" s="999">
        <v>-28.208469934238412</v>
      </c>
      <c r="T67" s="999">
        <v>-141073.94176879773</v>
      </c>
      <c r="U67" s="999"/>
    </row>
    <row r="68" spans="1:27">
      <c r="A68" s="486" t="s">
        <v>243</v>
      </c>
      <c r="B68" s="486">
        <v>1670.7600000000002</v>
      </c>
      <c r="C68" s="486">
        <v>0</v>
      </c>
      <c r="D68" s="486">
        <v>0</v>
      </c>
      <c r="E68" s="486">
        <v>0</v>
      </c>
      <c r="J68" s="486">
        <v>0</v>
      </c>
      <c r="L68" s="486">
        <v>1670.7600000000002</v>
      </c>
      <c r="M68" s="486">
        <v>35.007041335516725</v>
      </c>
      <c r="N68" s="999">
        <v>0</v>
      </c>
      <c r="O68" s="999">
        <v>64194.788818108413</v>
      </c>
      <c r="P68" s="999">
        <v>19448.156966558679</v>
      </c>
      <c r="Q68" s="999">
        <v>70000</v>
      </c>
      <c r="R68" s="1035"/>
      <c r="S68" s="999">
        <v>-38.422507612169554</v>
      </c>
      <c r="T68" s="999">
        <v>-50551.843033441321</v>
      </c>
      <c r="U68" s="999"/>
    </row>
    <row r="69" spans="1:27">
      <c r="A69" s="486" t="s">
        <v>244</v>
      </c>
      <c r="B69" s="486">
        <v>1670.7600000000002</v>
      </c>
      <c r="I69" s="486">
        <v>0</v>
      </c>
      <c r="J69" s="486">
        <v>0</v>
      </c>
      <c r="L69" s="486">
        <v>1670.7600000000002</v>
      </c>
      <c r="M69" s="486">
        <v>23.404707635745499</v>
      </c>
      <c r="N69" s="999">
        <v>200</v>
      </c>
      <c r="O69" s="999">
        <v>64194.788818108413</v>
      </c>
      <c r="P69" s="999">
        <v>19448.156966558679</v>
      </c>
      <c r="Q69" s="999">
        <v>80000</v>
      </c>
      <c r="R69" s="1035"/>
      <c r="S69" s="999">
        <v>-38.302801610110613</v>
      </c>
      <c r="T69" s="999">
        <v>-60351.843033441321</v>
      </c>
      <c r="U69" s="999"/>
    </row>
    <row r="70" spans="1:27">
      <c r="A70" s="486" t="s">
        <v>245</v>
      </c>
      <c r="B70" s="486">
        <v>1117.0224000000001</v>
      </c>
      <c r="I70" s="486">
        <v>-17726.374742543998</v>
      </c>
      <c r="J70" s="486">
        <v>17726.374742543998</v>
      </c>
      <c r="L70" s="486">
        <v>1117.0224000000017</v>
      </c>
      <c r="M70" s="486">
        <v>27.852792088710249</v>
      </c>
      <c r="N70" s="999">
        <v>2400</v>
      </c>
      <c r="O70" s="999">
        <v>42918.801666963904</v>
      </c>
      <c r="P70" s="999">
        <v>14704.015050806753</v>
      </c>
      <c r="Q70" s="999">
        <v>24000</v>
      </c>
      <c r="R70" s="1035"/>
      <c r="S70" s="999">
        <v>-36.273938344444879</v>
      </c>
      <c r="T70" s="999">
        <v>-6895.9849491932473</v>
      </c>
      <c r="U70" s="999"/>
    </row>
    <row r="71" spans="1:27">
      <c r="A71" s="486" t="s">
        <v>246</v>
      </c>
      <c r="B71" s="486">
        <v>761.4819123417642</v>
      </c>
      <c r="C71" s="486">
        <v>341.74786507403473</v>
      </c>
      <c r="D71" s="486">
        <v>226.08367310195953</v>
      </c>
      <c r="I71" s="486">
        <v>-6848.470026020681</v>
      </c>
      <c r="J71" s="486">
        <v>6848.470026020681</v>
      </c>
      <c r="L71" s="486">
        <v>1329.3134505177586</v>
      </c>
      <c r="M71" s="486">
        <v>23.973629677550843</v>
      </c>
      <c r="N71" s="999">
        <v>13000</v>
      </c>
      <c r="O71" s="999">
        <v>47435.002875395578</v>
      </c>
      <c r="P71" s="999">
        <v>14704.015050806753</v>
      </c>
      <c r="Q71" s="999">
        <v>73000</v>
      </c>
      <c r="R71" s="1035"/>
      <c r="S71" s="999">
        <v>-25.904351499628156</v>
      </c>
      <c r="T71" s="999">
        <v>-45295.984949193247</v>
      </c>
      <c r="U71" s="999"/>
    </row>
    <row r="72" spans="1:27">
      <c r="A72" s="486" t="s">
        <v>247</v>
      </c>
      <c r="B72" s="486">
        <v>596.70000000000005</v>
      </c>
      <c r="C72" s="486">
        <v>261.10000000000002</v>
      </c>
      <c r="D72" s="486">
        <v>261.10000000000002</v>
      </c>
      <c r="E72" s="486">
        <v>25.275000000000002</v>
      </c>
      <c r="I72" s="486">
        <v>-4732.9370962499997</v>
      </c>
      <c r="J72" s="486">
        <v>4732.9370962499997</v>
      </c>
      <c r="L72" s="486">
        <v>1144.1750000000002</v>
      </c>
      <c r="M72" s="486">
        <v>6.5649202705619585</v>
      </c>
      <c r="N72" s="999"/>
      <c r="O72" s="999">
        <v>40452.031760423808</v>
      </c>
      <c r="P72" s="999">
        <v>12576.536759496626</v>
      </c>
      <c r="Q72" s="999">
        <v>70000</v>
      </c>
      <c r="R72" s="1035"/>
      <c r="S72" s="999">
        <v>-35.354759333514366</v>
      </c>
      <c r="T72" s="999">
        <v>-57423.463240503377</v>
      </c>
      <c r="U72" s="999"/>
    </row>
    <row r="73" spans="1:27">
      <c r="A73" s="486" t="s">
        <v>248</v>
      </c>
      <c r="D73" s="486">
        <v>313.32</v>
      </c>
      <c r="I73" s="486">
        <v>0</v>
      </c>
      <c r="J73" s="486">
        <v>0</v>
      </c>
      <c r="L73" s="486">
        <v>313.32</v>
      </c>
      <c r="M73" s="486">
        <v>1.3448899183048879</v>
      </c>
      <c r="N73" s="999">
        <v>12000</v>
      </c>
      <c r="O73" s="999">
        <v>10029.743316917949</v>
      </c>
      <c r="P73" s="999">
        <v>3222.4882102882621</v>
      </c>
      <c r="Q73" s="999">
        <v>60000</v>
      </c>
      <c r="R73" s="1035"/>
      <c r="S73" s="999">
        <v>6.2883208319993953</v>
      </c>
      <c r="T73" s="999">
        <v>-44777.511789711738</v>
      </c>
      <c r="U73" s="999"/>
    </row>
    <row r="74" spans="1:27">
      <c r="A74" s="486" t="s">
        <v>249</v>
      </c>
      <c r="B74" s="486">
        <v>64.186751984303385</v>
      </c>
      <c r="I74" s="486">
        <v>4793.6932174222811</v>
      </c>
      <c r="J74" s="486">
        <v>-4793.6932174222811</v>
      </c>
      <c r="L74" s="486">
        <v>64.186751984303555</v>
      </c>
      <c r="M74" s="486">
        <v>0</v>
      </c>
      <c r="N74" s="999">
        <v>5609.9076923076918</v>
      </c>
      <c r="O74" s="999">
        <v>2466.215966717336</v>
      </c>
      <c r="P74" s="999">
        <v>747.15340788880735</v>
      </c>
      <c r="Q74" s="999"/>
      <c r="R74" s="1035"/>
      <c r="S74" s="999">
        <v>48.977267557628167</v>
      </c>
      <c r="T74" s="999">
        <v>6357.061100196499</v>
      </c>
      <c r="U74" s="999"/>
    </row>
    <row r="75" spans="1:27" ht="15">
      <c r="A75" s="605" t="s">
        <v>253</v>
      </c>
      <c r="B75" s="605"/>
      <c r="C75" s="611"/>
      <c r="D75" s="605">
        <v>417.76</v>
      </c>
      <c r="E75" s="605"/>
      <c r="F75" s="605"/>
      <c r="G75" s="611"/>
      <c r="H75" s="611"/>
      <c r="I75" s="605">
        <v>-2435.0290439999994</v>
      </c>
      <c r="J75" s="486">
        <v>2435.0290439999994</v>
      </c>
      <c r="L75" s="486">
        <v>417.76</v>
      </c>
      <c r="M75" s="486">
        <v>8.7532270274159458</v>
      </c>
      <c r="N75" s="999">
        <v>6232</v>
      </c>
      <c r="O75" s="999">
        <v>13372.991089223935</v>
      </c>
      <c r="P75" s="999">
        <v>4296.6509470510164</v>
      </c>
      <c r="Q75" s="999"/>
      <c r="R75" s="1035"/>
      <c r="S75" s="999">
        <v>-17.093525204002141</v>
      </c>
      <c r="T75" s="999">
        <v>10528.650947051017</v>
      </c>
      <c r="U75" s="999"/>
    </row>
    <row r="76" spans="1:27" ht="15">
      <c r="A76" s="605" t="s">
        <v>254</v>
      </c>
      <c r="B76" s="611"/>
      <c r="C76" s="605"/>
      <c r="D76" s="605">
        <v>313.32</v>
      </c>
      <c r="E76" s="605"/>
      <c r="F76" s="605"/>
      <c r="G76" s="605"/>
      <c r="H76" s="605"/>
      <c r="I76" s="605">
        <v>-1826.2717829999997</v>
      </c>
      <c r="J76" s="486">
        <v>1826.2717829999997</v>
      </c>
      <c r="L76" s="486">
        <v>313.31999999999994</v>
      </c>
      <c r="M76" s="486">
        <v>6.5649202705619576</v>
      </c>
      <c r="N76" s="999">
        <v>1335</v>
      </c>
      <c r="O76" s="999">
        <v>5954.0797170520191</v>
      </c>
      <c r="P76" s="999">
        <v>3222.4882102882621</v>
      </c>
      <c r="Q76" s="999"/>
      <c r="R76" s="1035"/>
      <c r="S76" s="999">
        <v>-14.742371112766564</v>
      </c>
      <c r="T76" s="999">
        <v>4557.4882102882621</v>
      </c>
      <c r="U76" s="999"/>
    </row>
    <row r="77" spans="1:27" ht="15">
      <c r="A77" s="605" t="s">
        <v>255</v>
      </c>
      <c r="B77" s="611"/>
      <c r="C77" s="611"/>
      <c r="D77" s="605"/>
      <c r="E77" s="605"/>
      <c r="F77" s="605"/>
      <c r="G77" s="605">
        <v>186</v>
      </c>
      <c r="H77" s="605"/>
      <c r="I77" s="605"/>
      <c r="L77" s="486">
        <v>186</v>
      </c>
      <c r="M77" s="486">
        <v>3.897214254833794</v>
      </c>
      <c r="N77" s="999">
        <v>5760</v>
      </c>
      <c r="O77" s="999">
        <v>3300</v>
      </c>
      <c r="P77" s="999">
        <v>478.2513142423216</v>
      </c>
      <c r="Q77" s="999"/>
      <c r="R77" s="1035"/>
      <c r="S77" s="999">
        <v>13.225806451612904</v>
      </c>
      <c r="T77" s="999">
        <v>6238.2513142423213</v>
      </c>
      <c r="U77" s="999"/>
    </row>
    <row r="78" spans="1:27" ht="15">
      <c r="A78" s="605" t="s">
        <v>256</v>
      </c>
      <c r="B78" s="611"/>
      <c r="C78" s="611"/>
      <c r="D78" s="605"/>
      <c r="E78" s="605">
        <v>18.198</v>
      </c>
      <c r="F78" s="605"/>
      <c r="G78" s="605"/>
      <c r="H78" s="605"/>
      <c r="I78" s="605">
        <v>383.22804239999999</v>
      </c>
      <c r="J78" s="486">
        <v>-383.22804239999999</v>
      </c>
      <c r="L78" s="486">
        <v>18.197999999999979</v>
      </c>
      <c r="M78" s="486">
        <v>0.38129841402938336</v>
      </c>
      <c r="N78" s="999">
        <v>3900</v>
      </c>
      <c r="O78" s="999">
        <v>582.53947683286378</v>
      </c>
      <c r="P78" s="999">
        <v>187.16596594799503</v>
      </c>
      <c r="Q78" s="999"/>
      <c r="R78" s="1035"/>
      <c r="S78" s="999">
        <v>182.29808347989558</v>
      </c>
      <c r="T78" s="999">
        <v>4087.1659659479951</v>
      </c>
      <c r="U78" s="999"/>
    </row>
    <row r="79" spans="1:27" ht="15">
      <c r="A79" s="486" t="s">
        <v>257</v>
      </c>
      <c r="D79" s="605">
        <v>16.616777468145902</v>
      </c>
      <c r="E79" s="605"/>
      <c r="F79" s="605"/>
      <c r="G79" s="605"/>
      <c r="H79" s="605"/>
      <c r="I79" s="605"/>
      <c r="L79" s="486">
        <v>16.616777468145902</v>
      </c>
      <c r="M79" s="486">
        <v>0.34816743020569468</v>
      </c>
      <c r="N79" s="999">
        <v>177.30755857680018</v>
      </c>
      <c r="O79" s="999">
        <v>531.92267573040056</v>
      </c>
      <c r="P79" s="999">
        <v>170.90313252931125</v>
      </c>
      <c r="Q79" s="999"/>
      <c r="R79" s="1035"/>
      <c r="S79" s="999">
        <v>-21.34078751631548</v>
      </c>
      <c r="T79" s="999">
        <v>348.21069110611143</v>
      </c>
    </row>
    <row r="80" spans="1:27">
      <c r="A80" s="486" t="s">
        <v>260</v>
      </c>
      <c r="B80" s="486">
        <v>1432.08</v>
      </c>
      <c r="C80" s="486">
        <v>0</v>
      </c>
      <c r="D80" s="486">
        <v>0</v>
      </c>
      <c r="E80" s="486">
        <v>-101.10000000000001</v>
      </c>
      <c r="I80" s="486">
        <v>15980</v>
      </c>
      <c r="J80" s="486">
        <v>-15980</v>
      </c>
      <c r="L80" s="486">
        <v>1330.9799999999996</v>
      </c>
      <c r="M80" s="486">
        <v>25.584808095781437</v>
      </c>
      <c r="N80" s="999">
        <v>16280</v>
      </c>
      <c r="O80" s="999">
        <v>51787.774274386531</v>
      </c>
      <c r="P80" s="999">
        <v>15630.03790654556</v>
      </c>
      <c r="Q80" s="999"/>
      <c r="R80" s="1035"/>
      <c r="S80" s="999">
        <v>-26.677917229700327</v>
      </c>
      <c r="T80" s="999">
        <v>31910.03790654556</v>
      </c>
    </row>
    <row r="81" spans="1:21">
      <c r="A81" s="486" t="s">
        <v>261</v>
      </c>
      <c r="B81" s="486">
        <v>54.051698485058857</v>
      </c>
      <c r="D81" s="486">
        <v>745.76441408000005</v>
      </c>
      <c r="E81" s="486">
        <v>0.69573739026228765</v>
      </c>
      <c r="F81" s="486">
        <v>-12.160691326899084</v>
      </c>
      <c r="H81" s="486">
        <v>56.183310460623851</v>
      </c>
      <c r="I81" s="486">
        <v>-10.978948098157598</v>
      </c>
      <c r="J81" s="486">
        <v>10.978948098157598</v>
      </c>
      <c r="K81" s="486">
        <v>376.53627391999999</v>
      </c>
      <c r="L81" s="486">
        <v>1221.0707430090461</v>
      </c>
      <c r="M81" s="486">
        <v>9.6196026192605153</v>
      </c>
      <c r="N81" s="999">
        <v>29375</v>
      </c>
      <c r="O81" s="999">
        <v>25582.594924889894</v>
      </c>
      <c r="P81" s="999">
        <v>8181.4295108096103</v>
      </c>
      <c r="Q81" s="999"/>
      <c r="R81" s="1035"/>
      <c r="S81" s="999">
        <v>3.1058029166799965</v>
      </c>
      <c r="T81" s="999">
        <v>37556.429510809612</v>
      </c>
    </row>
    <row r="82" spans="1:21">
      <c r="A82" s="486" t="s">
        <v>262</v>
      </c>
      <c r="F82" s="486">
        <v>71.559633027522921</v>
      </c>
      <c r="G82" s="486">
        <v>387.54935359368164</v>
      </c>
      <c r="I82" s="486">
        <v>0</v>
      </c>
      <c r="J82" s="486">
        <v>0</v>
      </c>
      <c r="L82" s="486">
        <v>459.10898662120456</v>
      </c>
      <c r="M82" s="486">
        <v>7.5015088576107258</v>
      </c>
      <c r="N82" s="999">
        <v>10000</v>
      </c>
      <c r="O82" s="999">
        <v>10000</v>
      </c>
      <c r="P82" s="999">
        <v>1180.4810550110296</v>
      </c>
      <c r="Q82" s="999"/>
      <c r="R82" s="1035"/>
      <c r="S82" s="999">
        <v>0</v>
      </c>
      <c r="T82" s="999">
        <v>11180.481055011031</v>
      </c>
    </row>
    <row r="83" spans="1:21">
      <c r="A83" s="486" t="s">
        <v>263</v>
      </c>
      <c r="B83" s="486">
        <v>358.02</v>
      </c>
      <c r="I83" s="486">
        <v>0</v>
      </c>
      <c r="J83" s="486">
        <v>0</v>
      </c>
      <c r="L83" s="486">
        <v>358.02</v>
      </c>
      <c r="M83" s="486">
        <v>7.5015088576107258</v>
      </c>
      <c r="N83" s="999">
        <v>13927</v>
      </c>
      <c r="O83" s="999">
        <v>13756.026175308943</v>
      </c>
      <c r="P83" s="999">
        <v>4167.4622071197164</v>
      </c>
      <c r="Q83" s="999"/>
      <c r="R83" s="1035"/>
      <c r="S83" s="999">
        <v>0.4775538369115036</v>
      </c>
      <c r="T83" s="999">
        <v>18094.462207119715</v>
      </c>
    </row>
    <row r="84" spans="1:21">
      <c r="A84" s="486" t="s">
        <v>266</v>
      </c>
      <c r="B84" s="486">
        <v>2327.13</v>
      </c>
      <c r="C84" s="486">
        <v>417.76000000000005</v>
      </c>
      <c r="D84" s="486">
        <v>187.99200000000002</v>
      </c>
      <c r="E84" s="486">
        <v>32.352000000000004</v>
      </c>
      <c r="I84" s="486">
        <v>0</v>
      </c>
      <c r="J84" s="486">
        <v>0</v>
      </c>
      <c r="L84" s="486">
        <v>2965.2340000000004</v>
      </c>
      <c r="M84" s="486">
        <v>19.503923029787888</v>
      </c>
      <c r="N84" s="999">
        <v>10000</v>
      </c>
      <c r="O84" s="999">
        <v>109840.6329554746</v>
      </c>
      <c r="P84" s="999">
        <v>33651.387714520788</v>
      </c>
      <c r="Q84" s="999"/>
      <c r="R84" s="1035"/>
      <c r="S84" s="999">
        <v>-33.67040609795874</v>
      </c>
      <c r="T84" s="999">
        <v>43651.387714520788</v>
      </c>
    </row>
    <row r="85" spans="1:21">
      <c r="A85" s="486" t="s">
        <v>267</v>
      </c>
      <c r="B85" s="486">
        <v>930.85200000000009</v>
      </c>
      <c r="I85" s="486">
        <v>0</v>
      </c>
      <c r="J85" s="486">
        <v>0</v>
      </c>
      <c r="L85" s="486">
        <v>930.85200000000009</v>
      </c>
      <c r="M85" s="486">
        <v>23.404707635745499</v>
      </c>
      <c r="N85" s="999">
        <v>4100</v>
      </c>
      <c r="O85" s="999">
        <v>35765.668055803253</v>
      </c>
      <c r="P85" s="999">
        <v>10835.401738511264</v>
      </c>
      <c r="Q85" s="999"/>
      <c r="R85" s="1035"/>
      <c r="S85" s="999">
        <v>-34.017940613334076</v>
      </c>
      <c r="T85" s="999">
        <v>14935.401738511264</v>
      </c>
    </row>
    <row r="86" spans="1:21">
      <c r="A86" s="486" t="s">
        <v>245</v>
      </c>
      <c r="B86" s="486">
        <v>1117.0224000000001</v>
      </c>
      <c r="I86" s="486">
        <v>-17726.374742543998</v>
      </c>
      <c r="J86" s="486">
        <v>17726.374742543998</v>
      </c>
      <c r="L86" s="486">
        <v>1117.0224000000017</v>
      </c>
      <c r="M86" s="486">
        <v>4.1544496461082518</v>
      </c>
      <c r="N86" s="999">
        <v>2400</v>
      </c>
      <c r="O86" s="999">
        <v>42918.801666963904</v>
      </c>
      <c r="P86" s="999">
        <v>13002.482086213517</v>
      </c>
      <c r="Q86" s="999">
        <v>24000</v>
      </c>
      <c r="R86" s="1035"/>
      <c r="S86" s="999">
        <v>-36.273938344444879</v>
      </c>
      <c r="T86" s="999">
        <v>-8597.5179137864834</v>
      </c>
    </row>
    <row r="87" spans="1:21">
      <c r="A87" s="486" t="s">
        <v>268</v>
      </c>
      <c r="B87" s="486">
        <v>198.27691875490424</v>
      </c>
      <c r="C87" s="486">
        <v>0</v>
      </c>
      <c r="D87" s="486">
        <v>0</v>
      </c>
      <c r="E87" s="486">
        <v>0</v>
      </c>
      <c r="I87" s="486">
        <v>0</v>
      </c>
      <c r="J87" s="486">
        <v>0</v>
      </c>
      <c r="L87" s="486">
        <v>198.27691875490424</v>
      </c>
      <c r="M87" s="486" t="e">
        <v>#REF!</v>
      </c>
      <c r="N87" s="999">
        <v>188</v>
      </c>
      <c r="O87" s="999">
        <v>7618.2964201778323</v>
      </c>
      <c r="P87" s="999">
        <v>2308.0039256332325</v>
      </c>
      <c r="Q87" s="999"/>
      <c r="R87" s="1035"/>
      <c r="S87" s="999">
        <v>-37.47433875227118</v>
      </c>
      <c r="T87" s="999">
        <v>2496.0039256332325</v>
      </c>
    </row>
    <row r="89" spans="1:21">
      <c r="N89" s="486" t="s">
        <v>517</v>
      </c>
      <c r="O89" s="486" t="s">
        <v>225</v>
      </c>
      <c r="P89" s="486" t="s">
        <v>226</v>
      </c>
      <c r="Q89" s="486" t="s">
        <v>227</v>
      </c>
      <c r="S89" s="486" t="s">
        <v>228</v>
      </c>
      <c r="T89" s="486" t="s">
        <v>516</v>
      </c>
    </row>
    <row r="90" spans="1:21">
      <c r="A90" s="486" t="s">
        <v>232</v>
      </c>
      <c r="B90" s="486">
        <v>716.04</v>
      </c>
      <c r="C90" s="486">
        <v>313.32</v>
      </c>
      <c r="D90" s="486">
        <v>313.32</v>
      </c>
      <c r="E90" s="486">
        <v>30.33</v>
      </c>
      <c r="I90" s="486">
        <v>-5679.5245154999975</v>
      </c>
      <c r="J90" s="486">
        <v>5679.5245154999975</v>
      </c>
      <c r="L90" s="486">
        <v>1373.0100000000002</v>
      </c>
      <c r="M90" s="486">
        <v>17.503520667758362</v>
      </c>
      <c r="N90" s="999">
        <v>120</v>
      </c>
      <c r="O90" s="999">
        <v>48542.438112508564</v>
      </c>
      <c r="P90" s="999">
        <v>9724.0784832793397</v>
      </c>
      <c r="Q90" s="999"/>
      <c r="R90" s="1035"/>
      <c r="S90" s="999">
        <v>-35.267360115737361</v>
      </c>
      <c r="T90" s="999">
        <v>9844.0784832793397</v>
      </c>
      <c r="U90" s="999"/>
    </row>
    <row r="91" spans="1:21">
      <c r="A91" s="486" t="s">
        <v>233</v>
      </c>
      <c r="B91" s="486">
        <v>835.38000000000011</v>
      </c>
      <c r="C91" s="486">
        <v>0</v>
      </c>
      <c r="D91" s="486">
        <v>0</v>
      </c>
      <c r="E91" s="486">
        <v>0</v>
      </c>
      <c r="I91" s="486">
        <v>0</v>
      </c>
      <c r="J91" s="486">
        <v>0</v>
      </c>
      <c r="L91" s="486">
        <v>835.38000000000011</v>
      </c>
      <c r="M91" s="486">
        <v>5.0010059050738169</v>
      </c>
      <c r="N91" s="999">
        <v>40</v>
      </c>
      <c r="O91" s="999">
        <v>32097.394409054206</v>
      </c>
      <c r="P91" s="999">
        <v>9724.0784832793397</v>
      </c>
      <c r="Q91" s="999"/>
      <c r="R91" s="1035"/>
      <c r="S91" s="999">
        <v>-38.374625211345979</v>
      </c>
      <c r="T91" s="999">
        <v>9764.0784832793397</v>
      </c>
      <c r="U91" s="999"/>
    </row>
    <row r="92" spans="1:21">
      <c r="A92" s="486" t="s">
        <v>234</v>
      </c>
      <c r="B92" s="486">
        <v>238.68</v>
      </c>
      <c r="C92" s="486">
        <v>0</v>
      </c>
      <c r="D92" s="486">
        <v>0</v>
      </c>
      <c r="E92" s="486">
        <v>0</v>
      </c>
      <c r="I92" s="486">
        <v>0</v>
      </c>
      <c r="J92" s="486">
        <v>0</v>
      </c>
      <c r="L92" s="486">
        <v>238.68</v>
      </c>
      <c r="M92" s="486">
        <v>4.1544496461082518</v>
      </c>
      <c r="N92" s="999">
        <v>150</v>
      </c>
      <c r="O92" s="999">
        <v>9170.6841168726296</v>
      </c>
      <c r="P92" s="999">
        <v>2778.3081380798108</v>
      </c>
      <c r="Q92" s="999"/>
      <c r="R92" s="1035"/>
      <c r="S92" s="999">
        <v>-37.794051101360104</v>
      </c>
      <c r="T92" s="999">
        <v>2928.3081380798108</v>
      </c>
      <c r="U92" s="999"/>
    </row>
    <row r="93" spans="1:21">
      <c r="A93" s="486" t="s">
        <v>236</v>
      </c>
      <c r="B93" s="486">
        <v>190.94400000000002</v>
      </c>
      <c r="C93" s="486">
        <v>0</v>
      </c>
      <c r="D93" s="486">
        <v>0</v>
      </c>
      <c r="E93" s="486">
        <v>0</v>
      </c>
      <c r="I93" s="486">
        <v>0</v>
      </c>
      <c r="J93" s="486">
        <v>0</v>
      </c>
      <c r="L93" s="486">
        <v>190.94400000000002</v>
      </c>
      <c r="M93" s="486">
        <v>0</v>
      </c>
      <c r="N93" s="999">
        <v>140</v>
      </c>
      <c r="O93" s="999">
        <v>7336.5472934981035</v>
      </c>
      <c r="P93" s="999">
        <v>2222.6465104638487</v>
      </c>
      <c r="Q93" s="999"/>
      <c r="R93" s="1035"/>
      <c r="S93" s="999">
        <v>-37.689308349558523</v>
      </c>
      <c r="T93" s="999">
        <v>2362.6465104638487</v>
      </c>
      <c r="U93" s="999"/>
    </row>
    <row r="94" spans="1:21">
      <c r="A94" s="486" t="s">
        <v>242</v>
      </c>
      <c r="B94" s="486">
        <v>4773.6000000000004</v>
      </c>
      <c r="C94" s="486">
        <v>731.08</v>
      </c>
      <c r="E94" s="486">
        <v>-404.40000000000003</v>
      </c>
      <c r="L94" s="486">
        <v>5100.2800000000007</v>
      </c>
      <c r="M94" s="486">
        <v>106.8649673099124</v>
      </c>
      <c r="N94" s="999">
        <v>50000</v>
      </c>
      <c r="O94" s="999">
        <v>193871.09503619751</v>
      </c>
      <c r="P94" s="999">
        <v>58926.058231202282</v>
      </c>
      <c r="Q94" s="999">
        <v>250000</v>
      </c>
      <c r="R94" s="1035"/>
      <c r="S94" s="999">
        <v>-28.208469934238412</v>
      </c>
      <c r="T94" s="999">
        <v>-141073.94176879773</v>
      </c>
      <c r="U94" s="999"/>
    </row>
    <row r="95" spans="1:21">
      <c r="A95" s="486" t="s">
        <v>243</v>
      </c>
      <c r="B95" s="486">
        <v>1670.7600000000002</v>
      </c>
      <c r="C95" s="486">
        <v>0</v>
      </c>
      <c r="D95" s="486">
        <v>0</v>
      </c>
      <c r="E95" s="486">
        <v>0</v>
      </c>
      <c r="J95" s="486">
        <v>0</v>
      </c>
      <c r="L95" s="486">
        <v>1670.7600000000002</v>
      </c>
      <c r="M95" s="486">
        <v>35.007041335516725</v>
      </c>
      <c r="N95" s="999">
        <v>0</v>
      </c>
      <c r="O95" s="999">
        <v>64194.788818108413</v>
      </c>
      <c r="P95" s="999">
        <v>19448.156966558679</v>
      </c>
      <c r="Q95" s="999">
        <v>70000</v>
      </c>
      <c r="R95" s="1035"/>
      <c r="S95" s="999">
        <v>-38.422507612169554</v>
      </c>
      <c r="T95" s="999">
        <v>-50551.843033441321</v>
      </c>
      <c r="U95" s="999"/>
    </row>
    <row r="96" spans="1:21">
      <c r="A96" s="486" t="s">
        <v>244</v>
      </c>
      <c r="B96" s="486">
        <v>1670.7600000000002</v>
      </c>
      <c r="I96" s="486">
        <v>0</v>
      </c>
      <c r="J96" s="486">
        <v>0</v>
      </c>
      <c r="L96" s="486">
        <v>1670.7600000000002</v>
      </c>
      <c r="M96" s="486">
        <v>23.404707635745499</v>
      </c>
      <c r="N96" s="999">
        <v>200</v>
      </c>
      <c r="O96" s="999">
        <v>64194.788818108413</v>
      </c>
      <c r="P96" s="999">
        <v>19448.156966558679</v>
      </c>
      <c r="Q96" s="999">
        <v>80000</v>
      </c>
      <c r="R96" s="1035"/>
      <c r="S96" s="999">
        <v>-38.302801610110613</v>
      </c>
      <c r="T96" s="999">
        <v>-60351.843033441321</v>
      </c>
      <c r="U96" s="999"/>
    </row>
    <row r="97" spans="1:21">
      <c r="A97" s="486" t="s">
        <v>245</v>
      </c>
      <c r="B97" s="486">
        <v>1117.0224000000001</v>
      </c>
      <c r="I97" s="486">
        <v>-17726.374742543998</v>
      </c>
      <c r="J97" s="486">
        <v>17726.374742543998</v>
      </c>
      <c r="L97" s="486">
        <v>1117.0224000000017</v>
      </c>
      <c r="M97" s="486">
        <v>27.852792088710249</v>
      </c>
      <c r="N97" s="999">
        <v>2400</v>
      </c>
      <c r="O97" s="999">
        <v>42918.801666963904</v>
      </c>
      <c r="P97" s="999">
        <v>14704.015050806753</v>
      </c>
      <c r="Q97" s="999">
        <v>24000</v>
      </c>
      <c r="R97" s="1035"/>
      <c r="S97" s="999">
        <v>-36.273938344444879</v>
      </c>
      <c r="T97" s="999">
        <v>-6895.9849491932473</v>
      </c>
      <c r="U97" s="999"/>
    </row>
    <row r="98" spans="1:21">
      <c r="A98" s="486" t="s">
        <v>246</v>
      </c>
      <c r="B98" s="486">
        <v>761.4819123417642</v>
      </c>
      <c r="C98" s="486">
        <v>341.74786507403473</v>
      </c>
      <c r="D98" s="486">
        <v>226.08367310195953</v>
      </c>
      <c r="I98" s="486">
        <v>-6848.470026020681</v>
      </c>
      <c r="J98" s="486">
        <v>6848.470026020681</v>
      </c>
      <c r="L98" s="486">
        <v>1329.3134505177586</v>
      </c>
      <c r="M98" s="486">
        <v>23.973629677550843</v>
      </c>
      <c r="N98" s="999">
        <v>13000</v>
      </c>
      <c r="O98" s="999">
        <v>47435.002875395578</v>
      </c>
      <c r="P98" s="999">
        <v>14704.015050806753</v>
      </c>
      <c r="Q98" s="999">
        <v>73000</v>
      </c>
      <c r="R98" s="1035"/>
      <c r="S98" s="999">
        <v>-25.904351499628156</v>
      </c>
      <c r="T98" s="999">
        <v>-45295.984949193247</v>
      </c>
      <c r="U98" s="999"/>
    </row>
    <row r="99" spans="1:21">
      <c r="A99" s="486" t="s">
        <v>247</v>
      </c>
      <c r="B99" s="486">
        <v>596.70000000000005</v>
      </c>
      <c r="C99" s="486">
        <v>261.10000000000002</v>
      </c>
      <c r="D99" s="486">
        <v>261.10000000000002</v>
      </c>
      <c r="E99" s="486">
        <v>25.275000000000002</v>
      </c>
      <c r="I99" s="486">
        <v>-4732.9370962499997</v>
      </c>
      <c r="J99" s="486">
        <v>4732.9370962499997</v>
      </c>
      <c r="L99" s="486">
        <v>1144.1750000000002</v>
      </c>
      <c r="M99" s="486">
        <v>6.5649202705619585</v>
      </c>
      <c r="N99" s="999"/>
      <c r="O99" s="999">
        <v>40452.031760423808</v>
      </c>
      <c r="P99" s="999">
        <v>12576.536759496626</v>
      </c>
      <c r="Q99" s="999">
        <v>70000</v>
      </c>
      <c r="R99" s="1035"/>
      <c r="S99" s="999">
        <v>-35.354759333514366</v>
      </c>
      <c r="T99" s="999">
        <v>-57423.463240503377</v>
      </c>
      <c r="U99" s="999"/>
    </row>
    <row r="100" spans="1:21">
      <c r="A100" s="486" t="s">
        <v>248</v>
      </c>
      <c r="D100" s="486">
        <v>313.32</v>
      </c>
      <c r="I100" s="486">
        <v>0</v>
      </c>
      <c r="J100" s="486">
        <v>0</v>
      </c>
      <c r="L100" s="486">
        <v>313.32</v>
      </c>
      <c r="M100" s="486">
        <v>1.3448899183048879</v>
      </c>
      <c r="N100" s="999">
        <v>12000</v>
      </c>
      <c r="O100" s="999">
        <v>10029.743316917949</v>
      </c>
      <c r="P100" s="999">
        <v>3222.4882102882621</v>
      </c>
      <c r="Q100" s="999">
        <v>60000</v>
      </c>
      <c r="R100" s="1035"/>
      <c r="S100" s="999">
        <v>6.2883208319993953</v>
      </c>
      <c r="T100" s="999">
        <v>-44777.511789711738</v>
      </c>
      <c r="U100" s="999"/>
    </row>
    <row r="101" spans="1:21">
      <c r="A101" s="486" t="s">
        <v>249</v>
      </c>
      <c r="B101" s="486">
        <v>64.186751984303385</v>
      </c>
      <c r="I101" s="486">
        <v>4793.6932174222811</v>
      </c>
      <c r="J101" s="486">
        <v>-4793.6932174222811</v>
      </c>
      <c r="L101" s="486">
        <v>64.186751984303555</v>
      </c>
      <c r="M101" s="486">
        <v>0</v>
      </c>
      <c r="N101" s="999">
        <v>5609.9076923076918</v>
      </c>
      <c r="O101" s="999">
        <v>2466.215966717336</v>
      </c>
      <c r="P101" s="999">
        <v>747.15340788880735</v>
      </c>
      <c r="Q101" s="999"/>
      <c r="R101" s="1035"/>
      <c r="S101" s="999">
        <v>48.977267557628167</v>
      </c>
      <c r="T101" s="999">
        <v>6357.061100196499</v>
      </c>
      <c r="U101" s="999"/>
    </row>
    <row r="102" spans="1:21" ht="15">
      <c r="A102" s="605" t="s">
        <v>253</v>
      </c>
      <c r="B102" s="605"/>
      <c r="C102" s="611"/>
      <c r="D102" s="605">
        <v>417.76</v>
      </c>
      <c r="E102" s="605"/>
      <c r="F102" s="605"/>
      <c r="G102" s="611"/>
      <c r="H102" s="611"/>
      <c r="I102" s="605">
        <v>-2435.0290439999994</v>
      </c>
      <c r="J102" s="486">
        <v>2435.0290439999994</v>
      </c>
      <c r="L102" s="486">
        <v>417.76</v>
      </c>
      <c r="M102" s="486">
        <v>8.7532270274159458</v>
      </c>
      <c r="N102" s="999">
        <v>6232</v>
      </c>
      <c r="O102" s="999">
        <v>13372.991089223935</v>
      </c>
      <c r="P102" s="999">
        <v>4296.6509470510164</v>
      </c>
      <c r="Q102" s="999"/>
      <c r="R102" s="1035"/>
      <c r="S102" s="999">
        <v>-17.093525204002141</v>
      </c>
      <c r="T102" s="999">
        <v>10528.650947051017</v>
      </c>
      <c r="U102" s="999"/>
    </row>
    <row r="103" spans="1:21" ht="15">
      <c r="A103" s="605" t="s">
        <v>254</v>
      </c>
      <c r="B103" s="611"/>
      <c r="C103" s="605"/>
      <c r="D103" s="605">
        <v>313.32</v>
      </c>
      <c r="E103" s="605"/>
      <c r="F103" s="605"/>
      <c r="G103" s="605"/>
      <c r="H103" s="605"/>
      <c r="I103" s="605">
        <v>-1826.2717829999997</v>
      </c>
      <c r="J103" s="486">
        <v>1826.2717829999997</v>
      </c>
      <c r="L103" s="486">
        <v>313.31999999999994</v>
      </c>
      <c r="M103" s="486">
        <v>6.5649202705619576</v>
      </c>
      <c r="N103" s="999">
        <v>1335</v>
      </c>
      <c r="O103" s="999">
        <v>5954.0797170520191</v>
      </c>
      <c r="P103" s="999">
        <v>3222.4882102882621</v>
      </c>
      <c r="Q103" s="999"/>
      <c r="R103" s="1035"/>
      <c r="S103" s="999">
        <v>-14.742371112766564</v>
      </c>
      <c r="T103" s="999">
        <v>4557.4882102882621</v>
      </c>
      <c r="U103" s="999"/>
    </row>
    <row r="104" spans="1:21" ht="15">
      <c r="A104" s="605" t="s">
        <v>255</v>
      </c>
      <c r="B104" s="611"/>
      <c r="C104" s="611"/>
      <c r="D104" s="605"/>
      <c r="E104" s="605"/>
      <c r="F104" s="605"/>
      <c r="G104" s="605">
        <v>186</v>
      </c>
      <c r="H104" s="605"/>
      <c r="I104" s="605"/>
      <c r="L104" s="486">
        <v>186</v>
      </c>
      <c r="M104" s="486">
        <v>3.897214254833794</v>
      </c>
      <c r="N104" s="999">
        <v>5760</v>
      </c>
      <c r="O104" s="999">
        <v>3300</v>
      </c>
      <c r="P104" s="999">
        <v>478.2513142423216</v>
      </c>
      <c r="Q104" s="999"/>
      <c r="R104" s="1035"/>
      <c r="S104" s="999">
        <v>13.225806451612904</v>
      </c>
      <c r="T104" s="999">
        <v>6238.2513142423213</v>
      </c>
      <c r="U104" s="999"/>
    </row>
    <row r="105" spans="1:21" ht="15">
      <c r="A105" s="605" t="s">
        <v>256</v>
      </c>
      <c r="B105" s="611"/>
      <c r="C105" s="611"/>
      <c r="D105" s="605"/>
      <c r="E105" s="605">
        <v>18.198</v>
      </c>
      <c r="F105" s="605"/>
      <c r="G105" s="605"/>
      <c r="H105" s="605"/>
      <c r="I105" s="605">
        <v>383.22804239999999</v>
      </c>
      <c r="J105" s="486">
        <v>-383.22804239999999</v>
      </c>
      <c r="L105" s="486">
        <v>18.197999999999979</v>
      </c>
      <c r="M105" s="486">
        <v>0.38129841402938336</v>
      </c>
      <c r="N105" s="999">
        <v>3900</v>
      </c>
      <c r="O105" s="999">
        <v>582.53947683286378</v>
      </c>
      <c r="P105" s="999">
        <v>187.16596594799503</v>
      </c>
      <c r="Q105" s="999"/>
      <c r="R105" s="1035"/>
      <c r="S105" s="999">
        <v>182.29808347989558</v>
      </c>
      <c r="T105" s="999">
        <v>4087.1659659479951</v>
      </c>
      <c r="U105" s="999"/>
    </row>
    <row r="106" spans="1:21" ht="15">
      <c r="A106" s="486" t="s">
        <v>257</v>
      </c>
      <c r="D106" s="605">
        <v>16.616777468145902</v>
      </c>
      <c r="E106" s="605"/>
      <c r="F106" s="605"/>
      <c r="G106" s="605"/>
      <c r="H106" s="605"/>
      <c r="I106" s="605"/>
      <c r="L106" s="486">
        <v>16.616777468145902</v>
      </c>
      <c r="M106" s="486">
        <v>0.34816743020569468</v>
      </c>
      <c r="N106" s="999">
        <v>177.30755857680018</v>
      </c>
      <c r="O106" s="999">
        <v>531.92267573040056</v>
      </c>
      <c r="P106" s="999">
        <v>170.90313252931125</v>
      </c>
      <c r="Q106" s="999"/>
      <c r="R106" s="1035"/>
      <c r="S106" s="999">
        <v>-21.34078751631548</v>
      </c>
      <c r="T106" s="999">
        <v>348.21069110611143</v>
      </c>
    </row>
    <row r="107" spans="1:21">
      <c r="A107" s="486" t="s">
        <v>260</v>
      </c>
      <c r="B107" s="486">
        <v>1432.08</v>
      </c>
      <c r="C107" s="486">
        <v>0</v>
      </c>
      <c r="D107" s="486">
        <v>0</v>
      </c>
      <c r="E107" s="486">
        <v>-101.10000000000001</v>
      </c>
      <c r="I107" s="486">
        <v>15980</v>
      </c>
      <c r="J107" s="486">
        <v>-15980</v>
      </c>
      <c r="L107" s="486">
        <v>1330.9799999999996</v>
      </c>
      <c r="M107" s="486">
        <v>25.584808095781437</v>
      </c>
      <c r="N107" s="999">
        <v>16280</v>
      </c>
      <c r="O107" s="999">
        <v>51787.774274386531</v>
      </c>
      <c r="P107" s="999">
        <v>15630.03790654556</v>
      </c>
      <c r="Q107" s="999"/>
      <c r="R107" s="1035"/>
      <c r="S107" s="999">
        <v>-26.677917229700327</v>
      </c>
      <c r="T107" s="999">
        <v>31910.03790654556</v>
      </c>
    </row>
    <row r="108" spans="1:21">
      <c r="A108" s="486" t="s">
        <v>261</v>
      </c>
      <c r="B108" s="486">
        <v>54.051698485058857</v>
      </c>
      <c r="D108" s="486">
        <v>745.76441408000005</v>
      </c>
      <c r="E108" s="486">
        <v>0.69573739026228765</v>
      </c>
      <c r="F108" s="486">
        <v>-12.160691326899084</v>
      </c>
      <c r="H108" s="486">
        <v>56.183310460623851</v>
      </c>
      <c r="I108" s="486">
        <v>-10.978948098157598</v>
      </c>
      <c r="J108" s="486">
        <v>10.978948098157598</v>
      </c>
      <c r="K108" s="486">
        <v>376.53627391999999</v>
      </c>
      <c r="L108" s="486">
        <v>1221.0707430090461</v>
      </c>
      <c r="M108" s="486">
        <v>9.6196026192605153</v>
      </c>
      <c r="N108" s="999">
        <v>29375</v>
      </c>
      <c r="O108" s="999">
        <v>25582.594924889894</v>
      </c>
      <c r="P108" s="999">
        <v>8181.4295108096103</v>
      </c>
      <c r="Q108" s="999"/>
      <c r="R108" s="1035"/>
      <c r="S108" s="999">
        <v>3.1058029166799965</v>
      </c>
      <c r="T108" s="999">
        <v>37556.429510809612</v>
      </c>
    </row>
    <row r="109" spans="1:21">
      <c r="A109" s="486" t="s">
        <v>262</v>
      </c>
      <c r="F109" s="486">
        <v>71.559633027522921</v>
      </c>
      <c r="G109" s="486">
        <v>387.54935359368164</v>
      </c>
      <c r="I109" s="486">
        <v>0</v>
      </c>
      <c r="J109" s="486">
        <v>0</v>
      </c>
      <c r="L109" s="486">
        <v>459.10898662120456</v>
      </c>
      <c r="M109" s="486">
        <v>7.5015088576107258</v>
      </c>
      <c r="N109" s="999">
        <v>10000</v>
      </c>
      <c r="O109" s="999">
        <v>10000</v>
      </c>
      <c r="P109" s="999">
        <v>1180.4810550110296</v>
      </c>
      <c r="Q109" s="999"/>
      <c r="R109" s="1035"/>
      <c r="S109" s="999">
        <v>0</v>
      </c>
      <c r="T109" s="999">
        <v>11180.481055011031</v>
      </c>
    </row>
    <row r="110" spans="1:21">
      <c r="A110" s="486" t="s">
        <v>263</v>
      </c>
      <c r="B110" s="486">
        <v>358.02</v>
      </c>
      <c r="I110" s="486">
        <v>0</v>
      </c>
      <c r="J110" s="486">
        <v>0</v>
      </c>
      <c r="L110" s="486">
        <v>358.02</v>
      </c>
      <c r="M110" s="486">
        <v>7.5015088576107258</v>
      </c>
      <c r="N110" s="999">
        <v>13927</v>
      </c>
      <c r="O110" s="999">
        <v>13756.026175308943</v>
      </c>
      <c r="P110" s="999">
        <v>4167.4622071197164</v>
      </c>
      <c r="Q110" s="999"/>
      <c r="R110" s="1035"/>
      <c r="S110" s="999">
        <v>0.4775538369115036</v>
      </c>
      <c r="T110" s="999">
        <v>18094.462207119715</v>
      </c>
    </row>
    <row r="111" spans="1:21">
      <c r="A111" s="486" t="s">
        <v>266</v>
      </c>
      <c r="B111" s="486">
        <v>2327.13</v>
      </c>
      <c r="C111" s="486">
        <v>417.76000000000005</v>
      </c>
      <c r="D111" s="486">
        <v>187.99200000000002</v>
      </c>
      <c r="E111" s="486">
        <v>32.352000000000004</v>
      </c>
      <c r="I111" s="486">
        <v>0</v>
      </c>
      <c r="J111" s="486">
        <v>0</v>
      </c>
      <c r="L111" s="486">
        <v>2965.2340000000004</v>
      </c>
      <c r="M111" s="486">
        <v>19.503923029787888</v>
      </c>
      <c r="N111" s="999">
        <v>10000</v>
      </c>
      <c r="O111" s="999">
        <v>109840.6329554746</v>
      </c>
      <c r="P111" s="999">
        <v>33651.387714520788</v>
      </c>
      <c r="Q111" s="999"/>
      <c r="R111" s="1035"/>
      <c r="S111" s="999">
        <v>-33.67040609795874</v>
      </c>
      <c r="T111" s="999">
        <v>43651.387714520788</v>
      </c>
    </row>
    <row r="112" spans="1:21">
      <c r="A112" s="486" t="s">
        <v>267</v>
      </c>
      <c r="B112" s="486">
        <v>930.85200000000009</v>
      </c>
      <c r="I112" s="486">
        <v>0</v>
      </c>
      <c r="J112" s="486">
        <v>0</v>
      </c>
      <c r="L112" s="486">
        <v>930.85200000000009</v>
      </c>
      <c r="M112" s="486">
        <v>23.404707635745499</v>
      </c>
      <c r="N112" s="999">
        <v>4100</v>
      </c>
      <c r="O112" s="999">
        <v>35765.668055803253</v>
      </c>
      <c r="P112" s="999">
        <v>10835.401738511264</v>
      </c>
      <c r="Q112" s="999"/>
      <c r="R112" s="1035"/>
      <c r="S112" s="999">
        <v>-34.017940613334076</v>
      </c>
      <c r="T112" s="999">
        <v>14935.401738511264</v>
      </c>
    </row>
    <row r="113" spans="1:20">
      <c r="A113" s="486" t="s">
        <v>245</v>
      </c>
      <c r="B113" s="486">
        <v>1117.0224000000001</v>
      </c>
      <c r="I113" s="486">
        <v>-17726.374742543998</v>
      </c>
      <c r="J113" s="486">
        <v>17726.374742543998</v>
      </c>
      <c r="L113" s="486">
        <v>1117.0224000000017</v>
      </c>
      <c r="M113" s="486">
        <v>4.1544496461082518</v>
      </c>
      <c r="N113" s="999">
        <v>2400</v>
      </c>
      <c r="O113" s="999">
        <v>42918.801666963904</v>
      </c>
      <c r="P113" s="999">
        <v>13002.482086213517</v>
      </c>
      <c r="Q113" s="999">
        <v>24000</v>
      </c>
      <c r="R113" s="1035"/>
      <c r="S113" s="999">
        <v>-36.273938344444879</v>
      </c>
      <c r="T113" s="999">
        <v>-8597.5179137864834</v>
      </c>
    </row>
    <row r="114" spans="1:20">
      <c r="A114" s="486" t="s">
        <v>268</v>
      </c>
      <c r="B114" s="486">
        <v>198.27691875490424</v>
      </c>
      <c r="C114" s="486">
        <v>0</v>
      </c>
      <c r="D114" s="486">
        <v>0</v>
      </c>
      <c r="E114" s="486">
        <v>0</v>
      </c>
      <c r="I114" s="486">
        <v>0</v>
      </c>
      <c r="J114" s="486">
        <v>0</v>
      </c>
      <c r="L114" s="486">
        <v>198.27691875490424</v>
      </c>
      <c r="M114" s="486" t="e">
        <v>#REF!</v>
      </c>
      <c r="N114" s="999">
        <v>188</v>
      </c>
      <c r="O114" s="999">
        <v>7618.2964201778323</v>
      </c>
      <c r="P114" s="999">
        <v>2308.0039256332325</v>
      </c>
      <c r="Q114" s="999"/>
      <c r="R114" s="1035"/>
      <c r="S114" s="999">
        <v>-37.47433875227118</v>
      </c>
      <c r="T114" s="999">
        <v>2496.0039256332325</v>
      </c>
    </row>
  </sheetData>
  <mergeCells count="14">
    <mergeCell ref="A60:V60"/>
    <mergeCell ref="A15:M15"/>
    <mergeCell ref="N15:S15"/>
    <mergeCell ref="A29:M29"/>
    <mergeCell ref="A41:M41"/>
    <mergeCell ref="A51:M51"/>
    <mergeCell ref="A58:E58"/>
    <mergeCell ref="A1:Z1"/>
    <mergeCell ref="A2:M2"/>
    <mergeCell ref="V2:AA2"/>
    <mergeCell ref="AB2:AG2"/>
    <mergeCell ref="N3:P3"/>
    <mergeCell ref="W3:Z3"/>
    <mergeCell ref="AC3:AF3"/>
  </mergeCells>
  <pageMargins left="0.51181102362204722" right="0.70866141732283472" top="0.35433070866141736" bottom="0.15748031496062992" header="0.11811023622047245" footer="0.31496062992125984"/>
  <pageSetup paperSize="9" orientation="landscape" horizontalDpi="4294967294" verticalDpi="4294967294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TransportBAU</vt:lpstr>
      <vt:lpstr>VS_TAK</vt:lpstr>
      <vt:lpstr>TransportEE</vt:lpstr>
      <vt:lpstr>aruandesse</vt:lpstr>
      <vt:lpstr>tbl_joonised_aruandesse</vt:lpstr>
      <vt:lpstr>Jooniseks_AastaKeskmine</vt:lpstr>
      <vt:lpstr>Meetmete_kulud_tuludaruande (2)</vt:lpstr>
      <vt:lpstr>Meetmed_maksumustega2020</vt:lpstr>
      <vt:lpstr>Meetmed_maksumustega_2030</vt:lpstr>
      <vt:lpstr>Aruandesse2020_maksumus</vt:lpstr>
      <vt:lpstr>BAU</vt:lpstr>
      <vt:lpstr>TAK</vt:lpstr>
      <vt:lpstr>EE</vt:lpstr>
      <vt:lpstr>kl tervisemõju</vt:lpstr>
      <vt:lpstr>Transpordi_kytused_maksud2020</vt:lpstr>
      <vt:lpstr>Kytuste_hind_maksud2030</vt:lpstr>
      <vt:lpstr>Kytused2050</vt:lpstr>
      <vt:lpstr>TJ_kytusehinnad</vt:lpstr>
      <vt:lpstr>STREAM</vt:lpstr>
      <vt:lpstr>Autod</vt:lpstr>
      <vt:lpstr>Raudtee</vt:lpstr>
      <vt:lpstr>CO2valiskulu</vt:lpstr>
    </vt:vector>
  </TitlesOfParts>
  <Company>SEI Tallinn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Jüssi</dc:creator>
  <cp:lastModifiedBy>Mari Jüssi</cp:lastModifiedBy>
  <cp:lastPrinted>2014-07-04T06:58:57Z</cp:lastPrinted>
  <dcterms:created xsi:type="dcterms:W3CDTF">2013-12-12T09:17:55Z</dcterms:created>
  <dcterms:modified xsi:type="dcterms:W3CDTF">2014-08-28T14:39:55Z</dcterms:modified>
</cp:coreProperties>
</file>